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750" windowHeight="2985" tabRatio="933" activeTab="1"/>
  </bookViews>
  <sheets>
    <sheet name="1. menu" sheetId="1" r:id="rId1"/>
    <sheet name="1. kogel lanceren" sheetId="2" r:id="rId2"/>
    <sheet name="2. helling af" sheetId="3" r:id="rId3"/>
    <sheet name="3. hoogspringen met aanloop" sheetId="4" r:id="rId4"/>
    <sheet name="4. hoogspringen zonder aanloop" sheetId="5" r:id="rId5"/>
    <sheet name="Blad3" sheetId="6" r:id="rId6"/>
  </sheets>
  <definedNames/>
  <calcPr fullCalcOnLoad="1"/>
</workbook>
</file>

<file path=xl/sharedStrings.xml><?xml version="1.0" encoding="utf-8"?>
<sst xmlns="http://schemas.openxmlformats.org/spreadsheetml/2006/main" count="360" uniqueCount="149">
  <si>
    <t>Hoogspringer</t>
  </si>
  <si>
    <t>m =</t>
  </si>
  <si>
    <t>In A:</t>
  </si>
  <si>
    <t>h =</t>
  </si>
  <si>
    <t>v =</t>
  </si>
  <si>
    <t>m</t>
  </si>
  <si>
    <t>m/s</t>
  </si>
  <si>
    <t>°</t>
  </si>
  <si>
    <t>In B:</t>
  </si>
  <si>
    <t>Hoogte touw</t>
  </si>
  <si>
    <t>x</t>
  </si>
  <si>
    <t>y</t>
  </si>
  <si>
    <t>afzetpunt =</t>
  </si>
  <si>
    <t>baan:</t>
  </si>
  <si>
    <t>n</t>
  </si>
  <si>
    <t>t</t>
  </si>
  <si>
    <t>dt =</t>
  </si>
  <si>
    <t>hZ =</t>
  </si>
  <si>
    <t>grond</t>
  </si>
  <si>
    <t>kussen</t>
  </si>
  <si>
    <t>dikte =</t>
  </si>
  <si>
    <t>stijgtijd =</t>
  </si>
  <si>
    <t>valtijd =</t>
  </si>
  <si>
    <t>max hoogte =</t>
  </si>
  <si>
    <t>tot. tijd =</t>
  </si>
  <si>
    <t>hoogte kussen</t>
  </si>
  <si>
    <t>dx =</t>
  </si>
  <si>
    <t>breedte =</t>
  </si>
  <si>
    <t>dx = dikte/</t>
  </si>
  <si>
    <t>springer</t>
  </si>
  <si>
    <t>lengte =</t>
  </si>
  <si>
    <t>springen</t>
  </si>
  <si>
    <t>aanlooptijd =</t>
  </si>
  <si>
    <t>aanloopsnelheid</t>
  </si>
  <si>
    <r>
      <t>n</t>
    </r>
    <r>
      <rPr>
        <b/>
        <vertAlign val="subscript"/>
        <sz val="12"/>
        <rFont val="Times New Roman"/>
        <family val="1"/>
      </rPr>
      <t>min</t>
    </r>
  </si>
  <si>
    <r>
      <t xml:space="preserve">stijgen: </t>
    </r>
    <r>
      <rPr>
        <sz val="12"/>
        <rFont val="Symbol"/>
        <family val="1"/>
      </rPr>
      <t>w</t>
    </r>
    <r>
      <rPr>
        <sz val="12"/>
        <rFont val="Times New Roman"/>
        <family val="1"/>
      </rPr>
      <t xml:space="preserve"> =</t>
    </r>
  </si>
  <si>
    <t>starthoek :</t>
  </si>
  <si>
    <t>eindhoek:</t>
  </si>
  <si>
    <t>draaitijd:</t>
  </si>
  <si>
    <t>°/s</t>
  </si>
  <si>
    <t>rad/s</t>
  </si>
  <si>
    <t>draaitijd =</t>
  </si>
  <si>
    <t>tijdstip =</t>
  </si>
  <si>
    <t>hoek atleet =</t>
  </si>
  <si>
    <t>rad</t>
  </si>
  <si>
    <t>voet</t>
  </si>
  <si>
    <t>Z</t>
  </si>
  <si>
    <t>hoofd</t>
  </si>
  <si>
    <t>stijgend:</t>
  </si>
  <si>
    <t>dalend</t>
  </si>
  <si>
    <r>
      <t xml:space="preserve">dalen: </t>
    </r>
    <r>
      <rPr>
        <sz val="12"/>
        <rFont val="Symbol"/>
        <family val="1"/>
      </rPr>
      <t>w</t>
    </r>
    <r>
      <rPr>
        <sz val="12"/>
        <rFont val="Times New Roman"/>
        <family val="1"/>
      </rPr>
      <t xml:space="preserve"> =</t>
    </r>
  </si>
  <si>
    <t>Hoek bij stijgen</t>
  </si>
  <si>
    <t>Hoek bij dalen</t>
  </si>
  <si>
    <t>twee benen</t>
  </si>
  <si>
    <t>n even, L voor, anders R voor</t>
  </si>
  <si>
    <t>stapgrootte = v*dt</t>
  </si>
  <si>
    <t xml:space="preserve">Ez </t>
  </si>
  <si>
    <t xml:space="preserve">Etot </t>
  </si>
  <si>
    <t>Ek</t>
  </si>
  <si>
    <r>
      <t>a</t>
    </r>
    <r>
      <rPr>
        <b/>
        <sz val="12"/>
        <color indexed="57"/>
        <rFont val="Times New Roman"/>
        <family val="1"/>
      </rPr>
      <t xml:space="preserve"> =</t>
    </r>
  </si>
  <si>
    <t>met Ech?</t>
  </si>
  <si>
    <t>=met aanloop?</t>
  </si>
  <si>
    <t>met Ew/rust</t>
  </si>
  <si>
    <t>Paal in x =</t>
  </si>
  <si>
    <t>haak onder lat</t>
  </si>
  <si>
    <t>lat:</t>
  </si>
  <si>
    <t>breedte legger =</t>
  </si>
  <si>
    <t>voet links =</t>
  </si>
  <si>
    <t>voet rechts =</t>
  </si>
  <si>
    <t>Kogel</t>
  </si>
  <si>
    <t>hoogte</t>
  </si>
  <si>
    <t>xmax =</t>
  </si>
  <si>
    <t>x min =</t>
  </si>
  <si>
    <t>tijd =</t>
  </si>
  <si>
    <t>ymax =</t>
  </si>
  <si>
    <t>ds</t>
  </si>
  <si>
    <t>Ew,lucht</t>
  </si>
  <si>
    <t>vy</t>
  </si>
  <si>
    <t>vx</t>
  </si>
  <si>
    <t>v</t>
  </si>
  <si>
    <t>a</t>
  </si>
  <si>
    <t>Ew,grond</t>
  </si>
  <si>
    <t>Ew,totaal</t>
  </si>
  <si>
    <t>X</t>
  </si>
  <si>
    <t>Y</t>
  </si>
  <si>
    <t>VX</t>
  </si>
  <si>
    <t>VY</t>
  </si>
  <si>
    <t>stil-lig-tijd</t>
  </si>
  <si>
    <t>=totale tijd</t>
  </si>
  <si>
    <t>beweeg-tijd</t>
  </si>
  <si>
    <t>nmax =</t>
  </si>
  <si>
    <t>Grafiekkader y-x</t>
  </si>
  <si>
    <t>Grafiekkader E-t</t>
  </si>
  <si>
    <t>t max =</t>
  </si>
  <si>
    <t>Emax =</t>
  </si>
  <si>
    <t>x max =</t>
  </si>
  <si>
    <t>y max =</t>
  </si>
  <si>
    <t>max(x;y) =</t>
  </si>
  <si>
    <t>ax</t>
  </si>
  <si>
    <t>ay</t>
  </si>
  <si>
    <t>max. stijgtijd =</t>
  </si>
  <si>
    <t>max. valtijd =</t>
  </si>
  <si>
    <t>s =</t>
  </si>
  <si>
    <t>FLgem =</t>
  </si>
  <si>
    <t>luchtweerstcoeff. k=</t>
  </si>
  <si>
    <t>N</t>
  </si>
  <si>
    <t>kg</t>
  </si>
  <si>
    <r>
      <t>F</t>
    </r>
    <r>
      <rPr>
        <b/>
        <vertAlign val="subscript"/>
        <sz val="12"/>
        <color indexed="57"/>
        <rFont val="Times New Roman"/>
        <family val="1"/>
      </rPr>
      <t>w,gem</t>
    </r>
  </si>
  <si>
    <t>Beginpunt A:</t>
  </si>
  <si>
    <t>Eindpunt B:</t>
  </si>
  <si>
    <t>Bal:</t>
  </si>
  <si>
    <t>Fw,lucht</t>
  </si>
  <si>
    <t>Ew 2</t>
  </si>
  <si>
    <t>FL gem</t>
  </si>
  <si>
    <t>Ech</t>
  </si>
  <si>
    <t>Start: Ech =</t>
  </si>
  <si>
    <t>daaltijd =</t>
  </si>
  <si>
    <t>lengte helling =</t>
  </si>
  <si>
    <t>hoogte helling =</t>
  </si>
  <si>
    <t>helling</t>
  </si>
  <si>
    <t>uitroltijd</t>
  </si>
  <si>
    <t>s(t)</t>
  </si>
  <si>
    <t>hoek =</t>
  </si>
  <si>
    <t>Fw</t>
  </si>
  <si>
    <t>Ew</t>
  </si>
  <si>
    <t>a op helling =</t>
  </si>
  <si>
    <t>rollen:</t>
  </si>
  <si>
    <t>Vulling helling</t>
  </si>
  <si>
    <t>Basis delen door:</t>
  </si>
  <si>
    <t>tbv E-berek</t>
  </si>
  <si>
    <t>T.b.v. de baan</t>
  </si>
  <si>
    <t>Yverhoogt met:</t>
  </si>
  <si>
    <t>Y'</t>
  </si>
  <si>
    <t>Hoogspringer:</t>
  </si>
  <si>
    <t>Hoogte lat:</t>
  </si>
  <si>
    <t>hoogte kussen:</t>
  </si>
  <si>
    <t>optimaal afzetpunt x =</t>
  </si>
  <si>
    <t>Klik op pijl:</t>
  </si>
  <si>
    <t>Lat- en kussenhoogte:</t>
  </si>
  <si>
    <t>springen:</t>
  </si>
  <si>
    <t>Etot</t>
  </si>
  <si>
    <t>Ez</t>
  </si>
  <si>
    <t>Q</t>
  </si>
  <si>
    <t>vertragen</t>
  </si>
  <si>
    <t>vertraging:</t>
  </si>
  <si>
    <t>= vertragingsfactor</t>
  </si>
  <si>
    <t>Start beweging:</t>
  </si>
  <si>
    <r>
      <t>E</t>
    </r>
    <r>
      <rPr>
        <b/>
        <vertAlign val="subscript"/>
        <sz val="20"/>
        <color indexed="10"/>
        <rFont val="Times New Roman"/>
        <family val="1"/>
      </rPr>
      <t>k</t>
    </r>
    <r>
      <rPr>
        <b/>
        <sz val="20"/>
        <color indexed="10"/>
        <rFont val="Times New Roman"/>
        <family val="1"/>
      </rPr>
      <t xml:space="preserve"> = </t>
    </r>
    <r>
      <rPr>
        <b/>
        <sz val="20"/>
        <color indexed="10"/>
        <rFont val="Arial"/>
        <family val="0"/>
      </rPr>
      <t>½</t>
    </r>
    <r>
      <rPr>
        <b/>
        <sz val="20"/>
        <color indexed="10"/>
        <rFont val="Times New Roman"/>
        <family val="1"/>
      </rPr>
      <t>mv</t>
    </r>
    <r>
      <rPr>
        <b/>
        <vertAlign val="superscript"/>
        <sz val="20"/>
        <color indexed="10"/>
        <rFont val="Times New Roman"/>
        <family val="1"/>
      </rPr>
      <t>2</t>
    </r>
  </si>
  <si>
    <r>
      <t>E</t>
    </r>
    <r>
      <rPr>
        <b/>
        <vertAlign val="subscript"/>
        <sz val="20"/>
        <color indexed="12"/>
        <rFont val="Times New Roman"/>
        <family val="1"/>
      </rPr>
      <t>z</t>
    </r>
    <r>
      <rPr>
        <b/>
        <sz val="20"/>
        <color indexed="12"/>
        <rFont val="Times New Roman"/>
        <family val="1"/>
      </rPr>
      <t xml:space="preserve"> = mgh</t>
    </r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</si>
</sst>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E+00"/>
    <numFmt numFmtId="170" formatCode="0.00000000"/>
    <numFmt numFmtId="171" formatCode="0.0000000"/>
  </numFmts>
  <fonts count="29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57"/>
      <name val="Symbol"/>
      <family val="1"/>
    </font>
    <font>
      <b/>
      <sz val="11"/>
      <name val="Times New Roman"/>
      <family val="1"/>
    </font>
    <font>
      <b/>
      <sz val="11.25"/>
      <name val="Times New Roman"/>
      <family val="1"/>
    </font>
    <font>
      <b/>
      <sz val="9.75"/>
      <name val="Times New Roman"/>
      <family val="1"/>
    </font>
    <font>
      <b/>
      <sz val="10.75"/>
      <name val="Times New Roman"/>
      <family val="1"/>
    </font>
    <font>
      <b/>
      <sz val="14.5"/>
      <name val="Times New Roman"/>
      <family val="1"/>
    </font>
    <font>
      <b/>
      <sz val="16.5"/>
      <name val="Times New Roman"/>
      <family val="1"/>
    </font>
    <font>
      <b/>
      <sz val="12"/>
      <name val="Symbol"/>
      <family val="1"/>
    </font>
    <font>
      <b/>
      <vertAlign val="subscript"/>
      <sz val="12"/>
      <color indexed="57"/>
      <name val="Times New Roman"/>
      <family val="1"/>
    </font>
    <font>
      <b/>
      <sz val="12"/>
      <color indexed="48"/>
      <name val="Times New Roman"/>
      <family val="1"/>
    </font>
    <font>
      <b/>
      <sz val="10"/>
      <name val="Times New Roman"/>
      <family val="1"/>
    </font>
    <font>
      <b/>
      <sz val="8.25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20"/>
      <color indexed="10"/>
      <name val="Times New Roman"/>
      <family val="1"/>
    </font>
    <font>
      <b/>
      <vertAlign val="subscript"/>
      <sz val="20"/>
      <color indexed="10"/>
      <name val="Times New Roman"/>
      <family val="1"/>
    </font>
    <font>
      <b/>
      <sz val="20"/>
      <color indexed="10"/>
      <name val="Arial"/>
      <family val="0"/>
    </font>
    <font>
      <b/>
      <vertAlign val="superscript"/>
      <sz val="20"/>
      <color indexed="10"/>
      <name val="Times New Roman"/>
      <family val="1"/>
    </font>
    <font>
      <b/>
      <sz val="20"/>
      <color indexed="12"/>
      <name val="Times New Roman"/>
      <family val="1"/>
    </font>
    <font>
      <b/>
      <vertAlign val="subscript"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67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 applyAlignment="1" quotePrefix="1">
      <alignment/>
    </xf>
    <xf numFmtId="2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164" fontId="1" fillId="2" borderId="0" xfId="0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167" fontId="5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/>
    </xf>
    <xf numFmtId="168" fontId="5" fillId="2" borderId="2" xfId="0" applyNumberFormat="1" applyFont="1" applyFill="1" applyBorder="1" applyAlignment="1">
      <alignment/>
    </xf>
    <xf numFmtId="0" fontId="15" fillId="2" borderId="1" xfId="0" applyFont="1" applyFill="1" applyBorder="1" applyAlignment="1">
      <alignment/>
    </xf>
    <xf numFmtId="167" fontId="1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168" fontId="5" fillId="2" borderId="1" xfId="0" applyNumberFormat="1" applyFont="1" applyFill="1" applyBorder="1" applyAlignment="1">
      <alignment horizontal="right"/>
    </xf>
    <xf numFmtId="168" fontId="1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167" fontId="3" fillId="2" borderId="0" xfId="0" applyNumberFormat="1" applyFont="1" applyFill="1" applyAlignment="1">
      <alignment/>
    </xf>
    <xf numFmtId="0" fontId="1" fillId="2" borderId="3" xfId="0" applyFont="1" applyFill="1" applyBorder="1" applyAlignment="1">
      <alignment horizontal="left"/>
    </xf>
    <xf numFmtId="1" fontId="1" fillId="2" borderId="4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" fontId="3" fillId="2" borderId="10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'1. kogel lanceren'!$AH$25:$AH$125</c:f>
              <c:numCache/>
            </c:numRef>
          </c:xVal>
          <c:yVal>
            <c:numRef>
              <c:f>'1. kogel lanceren'!$AI$25:$AI$125</c:f>
              <c:numCache/>
            </c:numRef>
          </c:yVal>
          <c:smooth val="0"/>
        </c:ser>
        <c:ser>
          <c:idx val="4"/>
          <c:order val="1"/>
          <c:tx>
            <c:v>kogel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'1. kogel lanceren'!$AN$20</c:f>
              <c:numCache/>
            </c:numRef>
          </c:xVal>
          <c:yVal>
            <c:numRef>
              <c:f>'1. kogel lanceren'!$AO$20</c:f>
              <c:numCache/>
            </c:numRef>
          </c:yVal>
          <c:smooth val="1"/>
        </c:ser>
        <c:ser>
          <c:idx val="2"/>
          <c:order val="2"/>
          <c:tx>
            <c:v>grond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xVal>
            <c:numRef>
              <c:f>'1. kogel lanceren'!$V$9:$V$10</c:f>
              <c:numCache/>
            </c:numRef>
          </c:xVal>
          <c:yVal>
            <c:numRef>
              <c:f>'1. kogel lanceren'!$W$9:$W$10</c:f>
              <c:numCache/>
            </c:numRef>
          </c:yVal>
          <c:smooth val="0"/>
        </c:ser>
        <c:ser>
          <c:idx val="0"/>
          <c:order val="3"/>
          <c:tx>
            <c:v>grafiekkader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kogel lanceren'!$X$10:$X$14</c:f>
              <c:numCache/>
            </c:numRef>
          </c:xVal>
          <c:yVal>
            <c:numRef>
              <c:f>'1. kogel lanceren'!$Y$10:$Y$14</c:f>
              <c:numCache/>
            </c:numRef>
          </c:yVal>
          <c:smooth val="0"/>
        </c:ser>
        <c:ser>
          <c:idx val="3"/>
          <c:order val="4"/>
          <c:tx>
            <c:v>kussen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kogel lanceren'!$AH$13:$AH$17</c:f>
              <c:numCache/>
            </c:numRef>
          </c:xVal>
          <c:yVal>
            <c:numRef>
              <c:f>'1. kogel lanceren'!$AI$13:$AI$17</c:f>
              <c:numCache/>
            </c:numRef>
          </c:yVal>
          <c:smooth val="0"/>
        </c:ser>
        <c:axId val="4320226"/>
        <c:axId val="38882035"/>
      </c:scatterChart>
      <c:valAx>
        <c:axId val="4320226"/>
        <c:scaling>
          <c:orientation val="minMax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38882035"/>
        <c:crosses val="autoZero"/>
        <c:crossBetween val="midCat"/>
        <c:dispUnits/>
        <c:majorUnit val="1"/>
      </c:valAx>
      <c:valAx>
        <c:axId val="38882035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2022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2075"/>
          <c:w val="0.75725"/>
          <c:h val="0.92725"/>
        </c:manualLayout>
      </c:layout>
      <c:scatterChart>
        <c:scatterStyle val="smooth"/>
        <c:varyColors val="0"/>
        <c:ser>
          <c:idx val="0"/>
          <c:order val="0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lanceren'!$AR$25:$AR$125</c:f>
              <c:numCache/>
            </c:numRef>
          </c:yVal>
          <c:smooth val="1"/>
        </c:ser>
        <c:ser>
          <c:idx val="1"/>
          <c:order val="1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lanceren'!$AS$25:$AS$125</c:f>
              <c:numCache/>
            </c:numRef>
          </c:yVal>
          <c:smooth val="1"/>
        </c:ser>
        <c:ser>
          <c:idx val="2"/>
          <c:order val="2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lanceren'!$AQ$25:$AQ$125</c:f>
              <c:numCache/>
            </c:numRef>
          </c:yVal>
          <c:smooth val="1"/>
        </c:ser>
        <c:ser>
          <c:idx val="3"/>
          <c:order val="3"/>
          <c:tx>
            <c:v>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lanceren'!$AX$25:$AX$125</c:f>
              <c:numCache/>
            </c:numRef>
          </c:yVal>
          <c:smooth val="1"/>
        </c:ser>
        <c:ser>
          <c:idx val="4"/>
          <c:order val="4"/>
          <c:tx>
            <c:v>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kogel lanceren'!$AD$10:$AD$14</c:f>
              <c:numCache/>
            </c:numRef>
          </c:xVal>
          <c:yVal>
            <c:numRef>
              <c:f>'1. kogel lanceren'!$AE$10:$AE$14</c:f>
              <c:numCache/>
            </c:numRef>
          </c:yVal>
          <c:smooth val="1"/>
        </c:ser>
        <c:axId val="14393996"/>
        <c:axId val="62437101"/>
      </c:scatterChart>
      <c:valAx>
        <c:axId val="1439399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437101"/>
        <c:crosses val="autoZero"/>
        <c:crossBetween val="midCat"/>
        <c:dispUnits/>
      </c:valAx>
      <c:valAx>
        <c:axId val="624371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393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FF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Energieverdeling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89%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kogel lanceren'!$AR$17:$AT$17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5"/>
          <c:order val="0"/>
          <c:tx>
            <c:v>vulling heling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af'!$AM$20:$AM$221</c:f>
              <c:numCache/>
            </c:numRef>
          </c:xVal>
          <c:yVal>
            <c:numRef>
              <c:f>'2. helling af'!$AN$20:$AN$221</c:f>
              <c:numCache/>
            </c:numRef>
          </c:yVal>
          <c:smooth val="0"/>
        </c:ser>
        <c:ser>
          <c:idx val="4"/>
          <c:order val="1"/>
          <c:tx>
            <c:v>kogel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 helling af'!$AP$20</c:f>
              <c:numCache/>
            </c:numRef>
          </c:xVal>
          <c:yVal>
            <c:numRef>
              <c:f>'2. helling af'!$AQ$20</c:f>
              <c:numCache/>
            </c:numRef>
          </c:yVal>
          <c:smooth val="1"/>
        </c:ser>
        <c:ser>
          <c:idx val="2"/>
          <c:order val="2"/>
          <c:tx>
            <c:v>grond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af'!$V$9:$V$10</c:f>
              <c:numCache/>
            </c:numRef>
          </c:xVal>
          <c:yVal>
            <c:numRef>
              <c:f>'2. helling af'!$W$9:$W$10</c:f>
              <c:numCache/>
            </c:numRef>
          </c:yVal>
          <c:smooth val="0"/>
        </c:ser>
        <c:ser>
          <c:idx val="0"/>
          <c:order val="3"/>
          <c:tx>
            <c:v>grafiekkader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 helling af'!$X$10:$X$14</c:f>
              <c:numCache/>
            </c:numRef>
          </c:xVal>
          <c:yVal>
            <c:numRef>
              <c:f>'2. helling af'!$Y$10:$Y$14</c:f>
              <c:numCache/>
            </c:numRef>
          </c:yVal>
          <c:smooth val="0"/>
        </c:ser>
        <c:ser>
          <c:idx val="1"/>
          <c:order val="4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 helling af'!$AH$25:$AH$125</c:f>
              <c:numCache/>
            </c:numRef>
          </c:xVal>
          <c:yVal>
            <c:numRef>
              <c:f>'2. helling af'!$AJ$25:$AJ$125</c:f>
              <c:numCache/>
            </c:numRef>
          </c:yVal>
          <c:smooth val="0"/>
        </c:ser>
        <c:ser>
          <c:idx val="3"/>
          <c:order val="5"/>
          <c:tx>
            <c:v>helling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af'!$AM$13:$AM$16</c:f>
              <c:numCache/>
            </c:numRef>
          </c:xVal>
          <c:yVal>
            <c:numRef>
              <c:f>'2. helling af'!$AN$13:$AN$16</c:f>
              <c:numCache/>
            </c:numRef>
          </c:yVal>
          <c:smooth val="0"/>
        </c:ser>
        <c:axId val="25062998"/>
        <c:axId val="24240391"/>
      </c:scatterChart>
      <c:valAx>
        <c:axId val="25062998"/>
        <c:scaling>
          <c:orientation val="minMax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24240391"/>
        <c:crosses val="autoZero"/>
        <c:crossBetween val="midCat"/>
        <c:dispUnits/>
      </c:valAx>
      <c:valAx>
        <c:axId val="24240391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5062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05"/>
          <c:w val="0.76675"/>
          <c:h val="0.93525"/>
        </c:manualLayout>
      </c:layout>
      <c:scatterChart>
        <c:scatterStyle val="smooth"/>
        <c:varyColors val="0"/>
        <c:ser>
          <c:idx val="2"/>
          <c:order val="0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af'!$AS$25:$AS$125</c:f>
              <c:numCache/>
            </c:numRef>
          </c:yVal>
          <c:smooth val="1"/>
        </c:ser>
        <c:ser>
          <c:idx val="0"/>
          <c:order val="1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af'!$AT$25:$AT$125</c:f>
              <c:numCache/>
            </c:numRef>
          </c:yVal>
          <c:smooth val="1"/>
        </c:ser>
        <c:ser>
          <c:idx val="1"/>
          <c:order val="2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af'!$AU$25:$AU$125</c:f>
              <c:numCache/>
            </c:numRef>
          </c:yVal>
          <c:smooth val="1"/>
        </c:ser>
        <c:ser>
          <c:idx val="3"/>
          <c:order val="3"/>
          <c:tx>
            <c:v>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af'!$AX$25:$AX$125</c:f>
              <c:numCache/>
            </c:numRef>
          </c:yVal>
          <c:smooth val="1"/>
        </c:ser>
        <c:ser>
          <c:idx val="4"/>
          <c:order val="4"/>
          <c:tx>
            <c:v>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af'!$AD$10:$AD$14</c:f>
              <c:numCache/>
            </c:numRef>
          </c:xVal>
          <c:yVal>
            <c:numRef>
              <c:f>'2. helling af'!$AE$10:$AE$14</c:f>
              <c:numCache/>
            </c:numRef>
          </c:yVal>
          <c:smooth val="1"/>
        </c:ser>
        <c:axId val="16836928"/>
        <c:axId val="17314625"/>
      </c:scatterChart>
      <c:valAx>
        <c:axId val="1683692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7314625"/>
        <c:crosses val="autoZero"/>
        <c:crossBetween val="midCat"/>
        <c:dispUnits/>
      </c:valAx>
      <c:valAx>
        <c:axId val="173146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6836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touw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'3. hoogspringen met aanloop'!$V$3</c:f>
              <c:numCache/>
            </c:numRef>
          </c:xVal>
          <c:yVal>
            <c:numRef>
              <c:f>'3. hoogspringen met aanloop'!$W$3</c:f>
              <c:numCache/>
            </c:numRef>
          </c:yVal>
          <c:smooth val="0"/>
        </c:ser>
        <c:ser>
          <c:idx val="2"/>
          <c:order val="1"/>
          <c:tx>
            <c:v>grond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hoogspringen met aanloop'!$V$7:$V$8</c:f>
              <c:numCache/>
            </c:numRef>
          </c:xVal>
          <c:yVal>
            <c:numRef>
              <c:f>'3. hoogspringen met aanloop'!$W$7:$W$8</c:f>
              <c:numCache/>
            </c:numRef>
          </c:yVal>
          <c:smooth val="0"/>
        </c:ser>
        <c:ser>
          <c:idx val="3"/>
          <c:order val="2"/>
          <c:tx>
            <c:v>kussen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hoogspringen met aanloop'!$AB$21:$AB$122</c:f>
              <c:numCache/>
            </c:numRef>
          </c:xVal>
          <c:yVal>
            <c:numRef>
              <c:f>'3. hoogspringen met aanloop'!$AC$21:$AC$122</c:f>
              <c:numCache/>
            </c:numRef>
          </c:yVal>
          <c:smooth val="0"/>
        </c:ser>
        <c:ser>
          <c:idx val="1"/>
          <c:order val="3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'3. hoogspringen met aanloop'!$Y$24:$Y$125</c:f>
              <c:numCache/>
            </c:numRef>
          </c:xVal>
          <c:yVal>
            <c:numRef>
              <c:f>'3. hoogspringen met aanloop'!$Z$24:$Z$125</c:f>
              <c:numCache/>
            </c:numRef>
          </c:yVal>
          <c:smooth val="0"/>
        </c:ser>
        <c:ser>
          <c:idx val="4"/>
          <c:order val="4"/>
          <c:tx>
            <c:v>atleet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'3. hoogspringen met aanloop'!$AE$32:$AE$34</c:f>
              <c:numCache/>
            </c:numRef>
          </c:xVal>
          <c:yVal>
            <c:numRef>
              <c:f>'3. hoogspringen met aanloop'!$AF$32:$AF$34</c:f>
              <c:numCache/>
            </c:numRef>
          </c:yVal>
          <c:smooth val="1"/>
        </c:ser>
        <c:ser>
          <c:idx val="5"/>
          <c:order val="5"/>
          <c:tx>
            <c:v>staander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hoogspringen met aanloop'!$AB$9:$AB$15</c:f>
              <c:numCache/>
            </c:numRef>
          </c:xVal>
          <c:yVal>
            <c:numRef>
              <c:f>'3. hoogspringen met aanloop'!$AC$9:$AC$15</c:f>
              <c:numCache/>
            </c:numRef>
          </c:yVal>
          <c:smooth val="0"/>
        </c:ser>
        <c:axId val="21613898"/>
        <c:axId val="60307355"/>
      </c:scatterChart>
      <c:valAx>
        <c:axId val="21613898"/>
        <c:scaling>
          <c:orientation val="minMax"/>
          <c:max val="3"/>
          <c:min val="-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crossBetween val="midCat"/>
        <c:dispUnits/>
        <c:majorUnit val="0.5"/>
        <c:minorUnit val="0.1"/>
      </c:valAx>
      <c:valAx>
        <c:axId val="60307355"/>
        <c:scaling>
          <c:orientation val="minMax"/>
          <c:max val="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38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80775"/>
          <c:h val="0.96125"/>
        </c:manualLayout>
      </c:layout>
      <c:scatterChart>
        <c:scatterStyle val="smooth"/>
        <c:varyColors val="0"/>
        <c:ser>
          <c:idx val="0"/>
          <c:order val="0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aanloop'!$AG$24:$AG$125</c:f>
              <c:numCache/>
            </c:numRef>
          </c:yVal>
          <c:smooth val="1"/>
        </c:ser>
        <c:ser>
          <c:idx val="1"/>
          <c:order val="1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aanloop'!$AI$24:$AI$125</c:f>
              <c:numCache/>
            </c:numRef>
          </c:yVal>
          <c:smooth val="1"/>
        </c:ser>
        <c:ser>
          <c:idx val="3"/>
          <c:order val="2"/>
          <c:tx>
            <c:v>Ech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aanloop'!$AJ$24:$AJ$125</c:f>
              <c:numCache/>
            </c:numRef>
          </c:yVal>
          <c:smooth val="1"/>
        </c:ser>
        <c:ser>
          <c:idx val="2"/>
          <c:order val="3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aanloop'!$AH$24:$AH$125</c:f>
              <c:numCache/>
            </c:numRef>
          </c:yVal>
          <c:smooth val="1"/>
        </c:ser>
        <c:axId val="5895284"/>
        <c:axId val="53057557"/>
      </c:scatterChart>
      <c:valAx>
        <c:axId val="5895284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0.01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057557"/>
        <c:crosses val="autoZero"/>
        <c:crossBetween val="midCat"/>
        <c:dispUnits/>
        <c:majorUnit val="0.5"/>
      </c:valAx>
      <c:valAx>
        <c:axId val="530575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95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FF00FF"/>
                </a:solidFill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125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touw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'4. hoogspringen zonder aanloop'!$N$3</c:f>
              <c:numCache/>
            </c:numRef>
          </c:xVal>
          <c:yVal>
            <c:numRef>
              <c:f>'4. hoogspringen zonder aanloop'!$O$3</c:f>
              <c:numCache/>
            </c:numRef>
          </c:yVal>
          <c:smooth val="0"/>
        </c:ser>
        <c:ser>
          <c:idx val="2"/>
          <c:order val="1"/>
          <c:tx>
            <c:v>grond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'4. hoogspringen zonder aanloop'!$N$7:$N$8</c:f>
              <c:numCache/>
            </c:numRef>
          </c:xVal>
          <c:yVal>
            <c:numRef>
              <c:f>'4. hoogspringen zonder aanloop'!$O$7:$O$8</c:f>
              <c:numCache/>
            </c:numRef>
          </c:yVal>
          <c:smooth val="0"/>
        </c:ser>
        <c:ser>
          <c:idx val="3"/>
          <c:order val="2"/>
          <c:tx>
            <c:v>kussen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'4. hoogspringen zonder aanloop'!$T$21:$T$122</c:f>
              <c:numCache/>
            </c:numRef>
          </c:xVal>
          <c:yVal>
            <c:numRef>
              <c:f>'4. hoogspringen zonder aanloop'!$U$21:$U$122</c:f>
              <c:numCache/>
            </c:numRef>
          </c:yVal>
          <c:smooth val="0"/>
        </c:ser>
        <c:ser>
          <c:idx val="1"/>
          <c:order val="3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'4. hoogspringen zonder aanloop'!$Q$24:$Q$125</c:f>
              <c:numCache/>
            </c:numRef>
          </c:xVal>
          <c:yVal>
            <c:numRef>
              <c:f>'4. hoogspringen zonder aanloop'!$R$24:$R$125</c:f>
              <c:numCache/>
            </c:numRef>
          </c:yVal>
          <c:smooth val="0"/>
        </c:ser>
        <c:ser>
          <c:idx val="4"/>
          <c:order val="4"/>
          <c:tx>
            <c:v>atleet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'4. hoogspringen zonder aanloop'!$W$32:$W$34</c:f>
              <c:numCache/>
            </c:numRef>
          </c:xVal>
          <c:yVal>
            <c:numRef>
              <c:f>'4. hoogspringen zonder aanloop'!$X$32:$X$34</c:f>
              <c:numCache/>
            </c:numRef>
          </c:yVal>
          <c:smooth val="1"/>
        </c:ser>
        <c:ser>
          <c:idx val="5"/>
          <c:order val="5"/>
          <c:tx>
            <c:v>staander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'4. hoogspringen zonder aanloop'!$T$9:$T$15</c:f>
              <c:numCache/>
            </c:numRef>
          </c:xVal>
          <c:yVal>
            <c:numRef>
              <c:f>'4. hoogspringen zonder aanloop'!$U$9:$U$15</c:f>
              <c:numCache/>
            </c:numRef>
          </c:yVal>
          <c:smooth val="0"/>
        </c:ser>
        <c:axId val="7755966"/>
        <c:axId val="2694831"/>
      </c:scatterChart>
      <c:valAx>
        <c:axId val="7755966"/>
        <c:scaling>
          <c:orientation val="minMax"/>
          <c:max val="2.5"/>
          <c:min val="-2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crossBetween val="midCat"/>
        <c:dispUnits/>
        <c:majorUnit val="0.5"/>
        <c:minorUnit val="0.1"/>
      </c:valAx>
      <c:valAx>
        <c:axId val="2694831"/>
        <c:scaling>
          <c:orientation val="minMax"/>
          <c:max val="2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5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525"/>
          <c:w val="0.83225"/>
          <c:h val="0.913"/>
        </c:manualLayout>
      </c:layout>
      <c:scatterChart>
        <c:scatterStyle val="smooth"/>
        <c:varyColors val="0"/>
        <c:ser>
          <c:idx val="0"/>
          <c:order val="0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'4. hoogspringen zonder aanloop'!$P$24:$P$125</c:f>
              <c:numCache/>
            </c:numRef>
          </c:xVal>
          <c:yVal>
            <c:numRef>
              <c:f>'4. hoogspringen zonder aanloop'!$Y$24:$Y$125</c:f>
              <c:numCache/>
            </c:numRef>
          </c:yVal>
          <c:smooth val="1"/>
        </c:ser>
        <c:ser>
          <c:idx val="1"/>
          <c:order val="1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'4. hoogspringen zonder aanloop'!$P$24:$P$125</c:f>
              <c:numCache/>
            </c:numRef>
          </c:xVal>
          <c:yVal>
            <c:numRef>
              <c:f>'4. hoogspringen zonder aanloop'!$AA$24:$AA$125</c:f>
              <c:numCache/>
            </c:numRef>
          </c:yVal>
          <c:smooth val="1"/>
        </c:ser>
        <c:ser>
          <c:idx val="2"/>
          <c:order val="2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'4. hoogspringen zonder aanloop'!$P$24:$P$125</c:f>
              <c:numCache/>
            </c:numRef>
          </c:xVal>
          <c:yVal>
            <c:numRef>
              <c:f>'4. hoogspringen zonder aanloop'!$Z$24:$Z$125</c:f>
              <c:numCache/>
            </c:numRef>
          </c:yVal>
          <c:smooth val="1"/>
        </c:ser>
        <c:axId val="24253480"/>
        <c:axId val="16954729"/>
      </c:scatterChart>
      <c:valAx>
        <c:axId val="24253480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crossBetween val="midCat"/>
        <c:dispUnits/>
      </c:valAx>
      <c:valAx>
        <c:axId val="1695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42534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chart" Target="/xl/charts/chart3.xml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4.emf" /><Relationship Id="rId7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57150</xdr:rowOff>
    </xdr:from>
    <xdr:to>
      <xdr:col>9</xdr:col>
      <xdr:colOff>619125</xdr:colOff>
      <xdr:row>3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47625</xdr:rowOff>
    </xdr:from>
    <xdr:to>
      <xdr:col>9</xdr:col>
      <xdr:colOff>619125</xdr:colOff>
      <xdr:row>3</xdr:row>
      <xdr:rowOff>238125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81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</xdr:row>
      <xdr:rowOff>38100</xdr:rowOff>
    </xdr:from>
    <xdr:to>
      <xdr:col>9</xdr:col>
      <xdr:colOff>619125</xdr:colOff>
      <xdr:row>4</xdr:row>
      <xdr:rowOff>228600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096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</xdr:row>
      <xdr:rowOff>57150</xdr:rowOff>
    </xdr:from>
    <xdr:to>
      <xdr:col>15</xdr:col>
      <xdr:colOff>628650</xdr:colOff>
      <xdr:row>3</xdr:row>
      <xdr:rowOff>9525</xdr:rowOff>
    </xdr:to>
    <xdr:pic>
      <xdr:nvPicPr>
        <xdr:cNvPr id="4" name="ScrollBar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95250</xdr:rowOff>
    </xdr:from>
    <xdr:to>
      <xdr:col>9</xdr:col>
      <xdr:colOff>304800</xdr:colOff>
      <xdr:row>28</xdr:row>
      <xdr:rowOff>38100</xdr:rowOff>
    </xdr:to>
    <xdr:graphicFrame>
      <xdr:nvGraphicFramePr>
        <xdr:cNvPr id="5" name="Chart 1"/>
        <xdr:cNvGraphicFramePr/>
      </xdr:nvGraphicFramePr>
      <xdr:xfrm>
        <a:off x="114300" y="1104900"/>
        <a:ext cx="446722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361950</xdr:colOff>
      <xdr:row>5</xdr:row>
      <xdr:rowOff>95250</xdr:rowOff>
    </xdr:from>
    <xdr:to>
      <xdr:col>17</xdr:col>
      <xdr:colOff>457200</xdr:colOff>
      <xdr:row>28</xdr:row>
      <xdr:rowOff>47625</xdr:rowOff>
    </xdr:to>
    <xdr:graphicFrame>
      <xdr:nvGraphicFramePr>
        <xdr:cNvPr id="6" name="Chart 11"/>
        <xdr:cNvGraphicFramePr/>
      </xdr:nvGraphicFramePr>
      <xdr:xfrm>
        <a:off x="4638675" y="1104900"/>
        <a:ext cx="483870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</xdr:col>
      <xdr:colOff>28575</xdr:colOff>
      <xdr:row>3</xdr:row>
      <xdr:rowOff>57150</xdr:rowOff>
    </xdr:from>
    <xdr:to>
      <xdr:col>4</xdr:col>
      <xdr:colOff>628650</xdr:colOff>
      <xdr:row>4</xdr:row>
      <xdr:rowOff>9525</xdr:rowOff>
    </xdr:to>
    <xdr:pic>
      <xdr:nvPicPr>
        <xdr:cNvPr id="7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905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57150</xdr:rowOff>
    </xdr:from>
    <xdr:to>
      <xdr:col>4</xdr:col>
      <xdr:colOff>628650</xdr:colOff>
      <xdr:row>3</xdr:row>
      <xdr:rowOff>9525</xdr:rowOff>
    </xdr:to>
    <xdr:pic>
      <xdr:nvPicPr>
        <xdr:cNvPr id="8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4</xdr:row>
      <xdr:rowOff>0</xdr:rowOff>
    </xdr:from>
    <xdr:to>
      <xdr:col>16</xdr:col>
      <xdr:colOff>9525</xdr:colOff>
      <xdr:row>4</xdr:row>
      <xdr:rowOff>228600</xdr:rowOff>
    </xdr:to>
    <xdr:pic>
      <xdr:nvPicPr>
        <xdr:cNvPr id="9" name="CmdStart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29500" y="7715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0</xdr:rowOff>
    </xdr:from>
    <xdr:to>
      <xdr:col>16</xdr:col>
      <xdr:colOff>628650</xdr:colOff>
      <xdr:row>4</xdr:row>
      <xdr:rowOff>228600</xdr:rowOff>
    </xdr:to>
    <xdr:pic>
      <xdr:nvPicPr>
        <xdr:cNvPr id="10" name="CmdStop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048625" y="7715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4</xdr:row>
      <xdr:rowOff>19050</xdr:rowOff>
    </xdr:from>
    <xdr:to>
      <xdr:col>17</xdr:col>
      <xdr:colOff>257175</xdr:colOff>
      <xdr:row>5</xdr:row>
      <xdr:rowOff>9525</xdr:rowOff>
    </xdr:to>
    <xdr:pic>
      <xdr:nvPicPr>
        <xdr:cNvPr id="11" name="CmdReset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658225" y="79057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762000</xdr:colOff>
      <xdr:row>18</xdr:row>
      <xdr:rowOff>180975</xdr:rowOff>
    </xdr:from>
    <xdr:to>
      <xdr:col>20</xdr:col>
      <xdr:colOff>400050</xdr:colOff>
      <xdr:row>35</xdr:row>
      <xdr:rowOff>161925</xdr:rowOff>
    </xdr:to>
    <xdr:graphicFrame>
      <xdr:nvGraphicFramePr>
        <xdr:cNvPr id="12" name="Chart 43"/>
        <xdr:cNvGraphicFramePr/>
      </xdr:nvGraphicFramePr>
      <xdr:xfrm>
        <a:off x="8801100" y="3829050"/>
        <a:ext cx="3562350" cy="3590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15</xdr:col>
      <xdr:colOff>19050</xdr:colOff>
      <xdr:row>3</xdr:row>
      <xdr:rowOff>28575</xdr:rowOff>
    </xdr:from>
    <xdr:to>
      <xdr:col>15</xdr:col>
      <xdr:colOff>619125</xdr:colOff>
      <xdr:row>3</xdr:row>
      <xdr:rowOff>219075</xdr:rowOff>
    </xdr:to>
    <xdr:pic>
      <xdr:nvPicPr>
        <xdr:cNvPr id="13" name="ScrollBar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0" y="5619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57150</xdr:rowOff>
    </xdr:from>
    <xdr:to>
      <xdr:col>9</xdr:col>
      <xdr:colOff>619125</xdr:colOff>
      <xdr:row>3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47625</xdr:rowOff>
    </xdr:from>
    <xdr:to>
      <xdr:col>9</xdr:col>
      <xdr:colOff>619125</xdr:colOff>
      <xdr:row>3</xdr:row>
      <xdr:rowOff>238125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81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</xdr:row>
      <xdr:rowOff>38100</xdr:rowOff>
    </xdr:from>
    <xdr:to>
      <xdr:col>9</xdr:col>
      <xdr:colOff>619125</xdr:colOff>
      <xdr:row>4</xdr:row>
      <xdr:rowOff>228600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8096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</xdr:row>
      <xdr:rowOff>47625</xdr:rowOff>
    </xdr:from>
    <xdr:to>
      <xdr:col>15</xdr:col>
      <xdr:colOff>628650</xdr:colOff>
      <xdr:row>4</xdr:row>
      <xdr:rowOff>238125</xdr:rowOff>
    </xdr:to>
    <xdr:pic>
      <xdr:nvPicPr>
        <xdr:cNvPr id="4" name="ScrollBar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8191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95250</xdr:rowOff>
    </xdr:from>
    <xdr:to>
      <xdr:col>9</xdr:col>
      <xdr:colOff>304800</xdr:colOff>
      <xdr:row>28</xdr:row>
      <xdr:rowOff>38100</xdr:rowOff>
    </xdr:to>
    <xdr:graphicFrame>
      <xdr:nvGraphicFramePr>
        <xdr:cNvPr id="5" name="Chart 6"/>
        <xdr:cNvGraphicFramePr/>
      </xdr:nvGraphicFramePr>
      <xdr:xfrm>
        <a:off x="114300" y="1104900"/>
        <a:ext cx="4467225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361950</xdr:colOff>
      <xdr:row>5</xdr:row>
      <xdr:rowOff>95250</xdr:rowOff>
    </xdr:from>
    <xdr:to>
      <xdr:col>17</xdr:col>
      <xdr:colOff>457200</xdr:colOff>
      <xdr:row>28</xdr:row>
      <xdr:rowOff>47625</xdr:rowOff>
    </xdr:to>
    <xdr:graphicFrame>
      <xdr:nvGraphicFramePr>
        <xdr:cNvPr id="6" name="Chart 7"/>
        <xdr:cNvGraphicFramePr/>
      </xdr:nvGraphicFramePr>
      <xdr:xfrm>
        <a:off x="4638675" y="1104900"/>
        <a:ext cx="4838700" cy="4610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4</xdr:col>
      <xdr:colOff>28575</xdr:colOff>
      <xdr:row>3</xdr:row>
      <xdr:rowOff>57150</xdr:rowOff>
    </xdr:from>
    <xdr:to>
      <xdr:col>4</xdr:col>
      <xdr:colOff>628650</xdr:colOff>
      <xdr:row>4</xdr:row>
      <xdr:rowOff>9525</xdr:rowOff>
    </xdr:to>
    <xdr:pic>
      <xdr:nvPicPr>
        <xdr:cNvPr id="7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905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57150</xdr:rowOff>
    </xdr:from>
    <xdr:to>
      <xdr:col>4</xdr:col>
      <xdr:colOff>628650</xdr:colOff>
      <xdr:row>3</xdr:row>
      <xdr:rowOff>9525</xdr:rowOff>
    </xdr:to>
    <xdr:pic>
      <xdr:nvPicPr>
        <xdr:cNvPr id="8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2</xdr:row>
      <xdr:rowOff>9525</xdr:rowOff>
    </xdr:from>
    <xdr:to>
      <xdr:col>9</xdr:col>
      <xdr:colOff>352425</xdr:colOff>
      <xdr:row>2</xdr:row>
      <xdr:rowOff>200025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3048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66675</xdr:rowOff>
    </xdr:from>
    <xdr:to>
      <xdr:col>9</xdr:col>
      <xdr:colOff>342900</xdr:colOff>
      <xdr:row>4</xdr:row>
      <xdr:rowOff>19050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5619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</xdr:row>
      <xdr:rowOff>9525</xdr:rowOff>
    </xdr:from>
    <xdr:to>
      <xdr:col>13</xdr:col>
      <xdr:colOff>638175</xdr:colOff>
      <xdr:row>2</xdr:row>
      <xdr:rowOff>200025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048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</xdr:row>
      <xdr:rowOff>47625</xdr:rowOff>
    </xdr:from>
    <xdr:to>
      <xdr:col>13</xdr:col>
      <xdr:colOff>638175</xdr:colOff>
      <xdr:row>3</xdr:row>
      <xdr:rowOff>238125</xdr:rowOff>
    </xdr:to>
    <xdr:pic>
      <xdr:nvPicPr>
        <xdr:cNvPr id="4" name="ScrollBar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5429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</xdr:row>
      <xdr:rowOff>9525</xdr:rowOff>
    </xdr:from>
    <xdr:to>
      <xdr:col>16</xdr:col>
      <xdr:colOff>609600</xdr:colOff>
      <xdr:row>2</xdr:row>
      <xdr:rowOff>200025</xdr:rowOff>
    </xdr:to>
    <xdr:pic>
      <xdr:nvPicPr>
        <xdr:cNvPr id="5" name="ScrollBar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</xdr:row>
      <xdr:rowOff>85725</xdr:rowOff>
    </xdr:from>
    <xdr:to>
      <xdr:col>11</xdr:col>
      <xdr:colOff>285750</xdr:colOff>
      <xdr:row>20</xdr:row>
      <xdr:rowOff>76200</xdr:rowOff>
    </xdr:to>
    <xdr:graphicFrame>
      <xdr:nvGraphicFramePr>
        <xdr:cNvPr id="6" name="Chart 1"/>
        <xdr:cNvGraphicFramePr/>
      </xdr:nvGraphicFramePr>
      <xdr:xfrm>
        <a:off x="85725" y="819150"/>
        <a:ext cx="47434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342900</xdr:colOff>
      <xdr:row>4</xdr:row>
      <xdr:rowOff>76200</xdr:rowOff>
    </xdr:from>
    <xdr:to>
      <xdr:col>18</xdr:col>
      <xdr:colOff>704850</xdr:colOff>
      <xdr:row>20</xdr:row>
      <xdr:rowOff>76200</xdr:rowOff>
    </xdr:to>
    <xdr:graphicFrame>
      <xdr:nvGraphicFramePr>
        <xdr:cNvPr id="7" name="Chart 11"/>
        <xdr:cNvGraphicFramePr/>
      </xdr:nvGraphicFramePr>
      <xdr:xfrm>
        <a:off x="4886325" y="809625"/>
        <a:ext cx="461962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95250</xdr:rowOff>
    </xdr:from>
    <xdr:to>
      <xdr:col>6</xdr:col>
      <xdr:colOff>161925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66675" y="1295400"/>
        <a:ext cx="4067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1</xdr:row>
      <xdr:rowOff>0</xdr:rowOff>
    </xdr:from>
    <xdr:to>
      <xdr:col>8</xdr:col>
      <xdr:colOff>647700</xdr:colOff>
      <xdr:row>1</xdr:row>
      <xdr:rowOff>190500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00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8</xdr:col>
      <xdr:colOff>647700</xdr:colOff>
      <xdr:row>2</xdr:row>
      <xdr:rowOff>190500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</xdr:row>
      <xdr:rowOff>0</xdr:rowOff>
    </xdr:from>
    <xdr:to>
      <xdr:col>8</xdr:col>
      <xdr:colOff>647700</xdr:colOff>
      <xdr:row>3</xdr:row>
      <xdr:rowOff>190500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6000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0</xdr:rowOff>
    </xdr:from>
    <xdr:to>
      <xdr:col>8</xdr:col>
      <xdr:colOff>647700</xdr:colOff>
      <xdr:row>4</xdr:row>
      <xdr:rowOff>190500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8001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</xdr:row>
      <xdr:rowOff>0</xdr:rowOff>
    </xdr:from>
    <xdr:to>
      <xdr:col>11</xdr:col>
      <xdr:colOff>647700</xdr:colOff>
      <xdr:row>1</xdr:row>
      <xdr:rowOff>190500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200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0</xdr:rowOff>
    </xdr:from>
    <xdr:to>
      <xdr:col>11</xdr:col>
      <xdr:colOff>647700</xdr:colOff>
      <xdr:row>3</xdr:row>
      <xdr:rowOff>190500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62700" y="6000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0</xdr:rowOff>
    </xdr:from>
    <xdr:to>
      <xdr:col>11</xdr:col>
      <xdr:colOff>647700</xdr:colOff>
      <xdr:row>4</xdr:row>
      <xdr:rowOff>190500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62700" y="8001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0</xdr:rowOff>
    </xdr:from>
    <xdr:to>
      <xdr:col>11</xdr:col>
      <xdr:colOff>647700</xdr:colOff>
      <xdr:row>2</xdr:row>
      <xdr:rowOff>190500</xdr:rowOff>
    </xdr:to>
    <xdr:pic>
      <xdr:nvPicPr>
        <xdr:cNvPr id="9" name="ScrollBar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000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</xdr:row>
      <xdr:rowOff>0</xdr:rowOff>
    </xdr:from>
    <xdr:to>
      <xdr:col>8</xdr:col>
      <xdr:colOff>647700</xdr:colOff>
      <xdr:row>5</xdr:row>
      <xdr:rowOff>190500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10001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6</xdr:row>
      <xdr:rowOff>95250</xdr:rowOff>
    </xdr:from>
    <xdr:to>
      <xdr:col>12</xdr:col>
      <xdr:colOff>1371600</xdr:colOff>
      <xdr:row>23</xdr:row>
      <xdr:rowOff>152400</xdr:rowOff>
    </xdr:to>
    <xdr:graphicFrame>
      <xdr:nvGraphicFramePr>
        <xdr:cNvPr id="11" name="Chart 11"/>
        <xdr:cNvGraphicFramePr/>
      </xdr:nvGraphicFramePr>
      <xdr:xfrm>
        <a:off x="4229100" y="1295400"/>
        <a:ext cx="4124325" cy="3476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B2:IU149"/>
  <sheetViews>
    <sheetView showGridLines="0" tabSelected="1" workbookViewId="0" topLeftCell="A1">
      <selection activeCell="Q30" sqref="Q30"/>
    </sheetView>
  </sheetViews>
  <sheetFormatPr defaultColWidth="9.140625" defaultRowHeight="12.75"/>
  <cols>
    <col min="1" max="1" width="1.421875" style="1" customWidth="1"/>
    <col min="2" max="2" width="7.00390625" style="1" bestFit="1" customWidth="1"/>
    <col min="3" max="3" width="14.421875" style="1" bestFit="1" customWidth="1"/>
    <col min="4" max="4" width="3.421875" style="1" bestFit="1" customWidth="1"/>
    <col min="5" max="5" width="9.57421875" style="1" customWidth="1"/>
    <col min="6" max="6" width="3.57421875" style="1" customWidth="1"/>
    <col min="7" max="7" width="8.57421875" style="1" bestFit="1" customWidth="1"/>
    <col min="8" max="8" width="12.140625" style="1" bestFit="1" customWidth="1"/>
    <col min="9" max="9" width="4.00390625" style="1" bestFit="1" customWidth="1"/>
    <col min="10" max="10" width="9.28125" style="1" customWidth="1"/>
    <col min="11" max="11" width="3.57421875" style="1" customWidth="1"/>
    <col min="12" max="12" width="4.57421875" style="1" customWidth="1"/>
    <col min="13" max="13" width="14.7109375" style="1" customWidth="1"/>
    <col min="14" max="14" width="12.140625" style="1" bestFit="1" customWidth="1"/>
    <col min="15" max="15" width="2.7109375" style="1" bestFit="1" customWidth="1"/>
    <col min="16" max="16" width="9.421875" style="1" customWidth="1"/>
    <col min="17" max="17" width="14.7109375" style="1" bestFit="1" customWidth="1"/>
    <col min="18" max="21" width="14.7109375" style="1" customWidth="1"/>
    <col min="22" max="22" width="20.7109375" style="1" bestFit="1" customWidth="1"/>
    <col min="23" max="23" width="16.7109375" style="1" bestFit="1" customWidth="1"/>
    <col min="24" max="24" width="12.140625" style="1" bestFit="1" customWidth="1"/>
    <col min="25" max="25" width="10.140625" style="1" bestFit="1" customWidth="1"/>
    <col min="26" max="26" width="12.57421875" style="1" bestFit="1" customWidth="1"/>
    <col min="27" max="27" width="12.00390625" style="1" bestFit="1" customWidth="1"/>
    <col min="28" max="28" width="10.00390625" style="1" bestFit="1" customWidth="1"/>
    <col min="29" max="29" width="9.8515625" style="1" customWidth="1"/>
    <col min="30" max="30" width="12.28125" style="1" bestFit="1" customWidth="1"/>
    <col min="31" max="31" width="10.140625" style="1" bestFit="1" customWidth="1"/>
    <col min="32" max="32" width="16.7109375" style="1" bestFit="1" customWidth="1"/>
    <col min="33" max="33" width="12.57421875" style="1" bestFit="1" customWidth="1"/>
    <col min="34" max="34" width="10.421875" style="3" bestFit="1" customWidth="1"/>
    <col min="35" max="35" width="12.421875" style="1" customWidth="1"/>
    <col min="36" max="36" width="15.28125" style="1" bestFit="1" customWidth="1"/>
    <col min="37" max="37" width="11.140625" style="1" bestFit="1" customWidth="1"/>
    <col min="38" max="38" width="9.140625" style="1" customWidth="1"/>
    <col min="39" max="39" width="14.7109375" style="1" bestFit="1" customWidth="1"/>
    <col min="40" max="40" width="10.57421875" style="1" bestFit="1" customWidth="1"/>
    <col min="41" max="41" width="10.140625" style="1" bestFit="1" customWidth="1"/>
    <col min="42" max="43" width="10.00390625" style="1" customWidth="1"/>
    <col min="44" max="44" width="9.28125" style="1" bestFit="1" customWidth="1"/>
    <col min="45" max="45" width="10.8515625" style="1" bestFit="1" customWidth="1"/>
    <col min="46" max="48" width="10.7109375" style="1" customWidth="1"/>
    <col min="49" max="49" width="10.421875" style="1" bestFit="1" customWidth="1"/>
    <col min="50" max="50" width="10.8515625" style="1" bestFit="1" customWidth="1"/>
    <col min="51" max="51" width="10.421875" style="1" bestFit="1" customWidth="1"/>
    <col min="52" max="16384" width="9.140625" style="1" customWidth="1"/>
  </cols>
  <sheetData>
    <row r="1" ht="7.5" customHeight="1"/>
    <row r="2" spans="2:35" ht="15.75">
      <c r="B2" s="43" t="s">
        <v>110</v>
      </c>
      <c r="G2" s="43" t="s">
        <v>108</v>
      </c>
      <c r="M2" s="43" t="s">
        <v>109</v>
      </c>
      <c r="AD2" s="1">
        <v>0</v>
      </c>
      <c r="AE2" s="1">
        <v>0</v>
      </c>
      <c r="AG2" s="1">
        <v>0</v>
      </c>
      <c r="AH2" s="52">
        <v>0</v>
      </c>
      <c r="AI2" s="6">
        <f>(AD2*3600+AE2*60+AG2+AH20)/AL12</f>
        <v>0</v>
      </c>
    </row>
    <row r="3" spans="2:255" ht="18.75" customHeight="1">
      <c r="B3" s="33" t="s">
        <v>107</v>
      </c>
      <c r="C3" s="44" t="str">
        <f>IF(ISERROR(AV23),"---",AV23)</f>
        <v>---</v>
      </c>
      <c r="D3" s="39" t="s">
        <v>105</v>
      </c>
      <c r="E3" s="1">
        <v>0</v>
      </c>
      <c r="G3" s="33" t="s">
        <v>3</v>
      </c>
      <c r="H3" s="34">
        <f>J3</f>
        <v>10</v>
      </c>
      <c r="I3" s="33" t="s">
        <v>5</v>
      </c>
      <c r="J3" s="5">
        <v>10</v>
      </c>
      <c r="K3" s="2"/>
      <c r="M3" s="33" t="s">
        <v>70</v>
      </c>
      <c r="N3" s="34">
        <f>MIN(H3-0.5,P3)</f>
        <v>0</v>
      </c>
      <c r="O3" s="34" t="s">
        <v>5</v>
      </c>
      <c r="P3" s="2">
        <v>0</v>
      </c>
      <c r="AJ3" s="6"/>
      <c r="IU3" s="1">
        <v>6</v>
      </c>
    </row>
    <row r="4" spans="2:23" ht="18.75" customHeight="1">
      <c r="B4" s="35" t="s">
        <v>1</v>
      </c>
      <c r="C4" s="40">
        <f>E4*0.001</f>
        <v>0.1</v>
      </c>
      <c r="D4" s="40" t="s">
        <v>106</v>
      </c>
      <c r="E4" s="2">
        <v>100</v>
      </c>
      <c r="F4" s="2"/>
      <c r="G4" s="35" t="s">
        <v>4</v>
      </c>
      <c r="H4" s="36">
        <f>0+20*J4/40</f>
        <v>0.5</v>
      </c>
      <c r="I4" s="35" t="s">
        <v>6</v>
      </c>
      <c r="J4" s="5">
        <v>1</v>
      </c>
      <c r="K4" s="2"/>
      <c r="L4" s="2"/>
      <c r="M4" s="33" t="s">
        <v>143</v>
      </c>
      <c r="N4" s="62">
        <f>AL12</f>
        <v>5</v>
      </c>
      <c r="O4" s="33" t="s">
        <v>10</v>
      </c>
      <c r="P4" s="1">
        <v>3</v>
      </c>
      <c r="V4" s="7"/>
      <c r="W4" s="8"/>
    </row>
    <row r="5" spans="3:30" ht="18.75" customHeight="1">
      <c r="C5" s="2"/>
      <c r="D5" s="2"/>
      <c r="E5" s="2"/>
      <c r="F5" s="2"/>
      <c r="G5" s="37" t="s">
        <v>59</v>
      </c>
      <c r="H5" s="38">
        <f>J5</f>
        <v>90</v>
      </c>
      <c r="I5" s="35" t="s">
        <v>7</v>
      </c>
      <c r="J5" s="5">
        <v>90</v>
      </c>
      <c r="K5" s="2"/>
      <c r="L5" s="2"/>
      <c r="M5" s="41" t="s">
        <v>146</v>
      </c>
      <c r="N5" s="34"/>
      <c r="O5" s="34"/>
      <c r="P5" s="5"/>
      <c r="X5" s="6" t="s">
        <v>91</v>
      </c>
      <c r="Y5" s="6"/>
      <c r="Z5" s="6"/>
      <c r="AD5" s="1">
        <v>0</v>
      </c>
    </row>
    <row r="6" spans="3:37" ht="18.75" customHeight="1">
      <c r="C6" s="2"/>
      <c r="D6" s="2"/>
      <c r="E6" s="2"/>
      <c r="F6" s="2"/>
      <c r="G6" s="2"/>
      <c r="H6" s="4"/>
      <c r="I6" s="2"/>
      <c r="J6" s="5"/>
      <c r="K6" s="2"/>
      <c r="L6" s="2"/>
      <c r="R6" s="2"/>
      <c r="V6" s="10" t="s">
        <v>18</v>
      </c>
      <c r="X6" s="1" t="s">
        <v>95</v>
      </c>
      <c r="Y6" s="30">
        <f>W12+1</f>
        <v>1</v>
      </c>
      <c r="AD6" s="6" t="s">
        <v>92</v>
      </c>
      <c r="AE6" s="6"/>
      <c r="AF6" s="6"/>
      <c r="AG6" s="6" t="s">
        <v>19</v>
      </c>
      <c r="AH6" s="7"/>
      <c r="AI6" s="12"/>
      <c r="AK6" s="1" t="s">
        <v>144</v>
      </c>
    </row>
    <row r="7" spans="3:39" ht="15.75">
      <c r="C7" s="2"/>
      <c r="D7" s="2"/>
      <c r="E7" s="2"/>
      <c r="F7" s="2"/>
      <c r="L7" s="2"/>
      <c r="M7" s="2"/>
      <c r="N7" s="2"/>
      <c r="O7" s="2"/>
      <c r="P7" s="2"/>
      <c r="V7" s="1" t="s">
        <v>27</v>
      </c>
      <c r="W7" s="8">
        <f>W12+0.5</f>
        <v>0.5</v>
      </c>
      <c r="X7" s="1" t="s">
        <v>96</v>
      </c>
      <c r="Y7" s="27">
        <f>W13</f>
        <v>9.775484199796127</v>
      </c>
      <c r="AD7" s="1" t="s">
        <v>93</v>
      </c>
      <c r="AE7" s="1">
        <f>W21</f>
        <v>2.2195813783599068</v>
      </c>
      <c r="AG7" s="1" t="s">
        <v>72</v>
      </c>
      <c r="AH7" s="14">
        <f>MAX(0,AA25*W16-0.5)</f>
        <v>0</v>
      </c>
      <c r="AI7" s="12"/>
      <c r="AK7" s="54">
        <v>1</v>
      </c>
      <c r="AL7" s="55">
        <v>1</v>
      </c>
      <c r="AM7" s="6"/>
    </row>
    <row r="8" spans="22:40" ht="15.75">
      <c r="V8" s="7" t="s">
        <v>10</v>
      </c>
      <c r="W8" s="7" t="s">
        <v>11</v>
      </c>
      <c r="X8" s="1" t="s">
        <v>97</v>
      </c>
      <c r="Y8" s="30">
        <f>MAX(Y6,Y7)</f>
        <v>9.775484199796127</v>
      </c>
      <c r="AD8" s="7" t="s">
        <v>94</v>
      </c>
      <c r="AE8" s="8">
        <f>AQ25</f>
        <v>9.8225</v>
      </c>
      <c r="AF8" s="7"/>
      <c r="AG8" s="1" t="s">
        <v>71</v>
      </c>
      <c r="AH8" s="8">
        <f>W12+0.5</f>
        <v>0.5</v>
      </c>
      <c r="AK8" s="56">
        <v>2</v>
      </c>
      <c r="AL8" s="57">
        <v>2</v>
      </c>
      <c r="AN8" s="7"/>
    </row>
    <row r="9" spans="22:43" ht="15.75">
      <c r="V9" s="7">
        <v>0</v>
      </c>
      <c r="W9" s="7">
        <v>0</v>
      </c>
      <c r="X9" s="7" t="s">
        <v>10</v>
      </c>
      <c r="Y9" s="7" t="s">
        <v>11</v>
      </c>
      <c r="Z9" s="7"/>
      <c r="AD9" s="7" t="s">
        <v>10</v>
      </c>
      <c r="AE9" s="7" t="s">
        <v>11</v>
      </c>
      <c r="AF9" s="7"/>
      <c r="AG9" s="1" t="s">
        <v>20</v>
      </c>
      <c r="AH9" s="20">
        <f>$N$3</f>
        <v>0</v>
      </c>
      <c r="AK9" s="56">
        <v>3</v>
      </c>
      <c r="AL9" s="57">
        <v>5</v>
      </c>
      <c r="AM9" s="7"/>
      <c r="AN9" s="7"/>
      <c r="AO9" s="7"/>
      <c r="AP9" s="7"/>
      <c r="AQ9" s="7"/>
    </row>
    <row r="10" spans="22:43" ht="15.75">
      <c r="V10" s="8">
        <f>W7</f>
        <v>0.5</v>
      </c>
      <c r="W10" s="7">
        <v>0</v>
      </c>
      <c r="X10" s="7">
        <v>0</v>
      </c>
      <c r="Y10" s="7">
        <v>0</v>
      </c>
      <c r="Z10" s="7"/>
      <c r="AD10" s="8">
        <v>0</v>
      </c>
      <c r="AE10" s="8">
        <v>0</v>
      </c>
      <c r="AF10" s="8"/>
      <c r="AG10" s="1" t="s">
        <v>28</v>
      </c>
      <c r="AH10" s="7">
        <v>50</v>
      </c>
      <c r="AK10" s="56">
        <v>4</v>
      </c>
      <c r="AL10" s="57">
        <v>10</v>
      </c>
      <c r="AM10" s="13"/>
      <c r="AN10" s="14"/>
      <c r="AO10" s="14"/>
      <c r="AP10" s="14"/>
      <c r="AQ10" s="14"/>
    </row>
    <row r="11" spans="22:43" ht="15.75">
      <c r="V11" s="6" t="s">
        <v>13</v>
      </c>
      <c r="X11" s="8">
        <f>Y8</f>
        <v>9.775484199796127</v>
      </c>
      <c r="Y11" s="7">
        <f>Y10</f>
        <v>0</v>
      </c>
      <c r="Z11" s="8"/>
      <c r="AD11" s="8">
        <f>AE7</f>
        <v>2.2195813783599068</v>
      </c>
      <c r="AE11" s="8">
        <v>0</v>
      </c>
      <c r="AF11" s="8"/>
      <c r="AG11" s="1" t="s">
        <v>26</v>
      </c>
      <c r="AH11" s="7">
        <f>AH9/AH10</f>
        <v>0</v>
      </c>
      <c r="AK11" s="58">
        <v>5</v>
      </c>
      <c r="AL11" s="59">
        <v>20</v>
      </c>
      <c r="AN11" s="16"/>
      <c r="AO11" s="17"/>
      <c r="AP11" s="17"/>
      <c r="AQ11" s="17"/>
    </row>
    <row r="12" spans="22:43" ht="15.75">
      <c r="V12" s="1" t="s">
        <v>71</v>
      </c>
      <c r="W12" s="8">
        <f>$H$4*COS($H$5/180*PI())*W19</f>
        <v>4.5321944937359745E-17</v>
      </c>
      <c r="X12" s="8">
        <f>Y8</f>
        <v>9.775484199796127</v>
      </c>
      <c r="Y12" s="8">
        <f>Y8</f>
        <v>9.775484199796127</v>
      </c>
      <c r="Z12" s="8"/>
      <c r="AD12" s="8">
        <f>AE7</f>
        <v>2.2195813783599068</v>
      </c>
      <c r="AE12" s="8">
        <f>AE8</f>
        <v>9.8225</v>
      </c>
      <c r="AF12" s="7"/>
      <c r="AG12" s="1" t="s">
        <v>14</v>
      </c>
      <c r="AH12" s="7" t="s">
        <v>10</v>
      </c>
      <c r="AI12" s="7" t="s">
        <v>11</v>
      </c>
      <c r="AK12" s="60">
        <f>P4</f>
        <v>3</v>
      </c>
      <c r="AL12" s="61">
        <f>VLOOKUP(AK12,AK7:AL11,2,FALSE)</f>
        <v>5</v>
      </c>
      <c r="AM12" s="18" t="s">
        <v>145</v>
      </c>
      <c r="AN12" s="14"/>
      <c r="AO12" s="12"/>
      <c r="AP12" s="12"/>
      <c r="AQ12" s="12"/>
    </row>
    <row r="13" spans="16:40" ht="15.75">
      <c r="P13" s="18"/>
      <c r="V13" s="1" t="s">
        <v>74</v>
      </c>
      <c r="W13" s="8">
        <f>H3+$H$4*SIN($H$5/180*PI())*$W$16-0.5*9.81*$W$16</f>
        <v>9.775484199796127</v>
      </c>
      <c r="X13" s="7">
        <v>0</v>
      </c>
      <c r="Y13" s="8">
        <f>Y12</f>
        <v>9.775484199796127</v>
      </c>
      <c r="Z13" s="7"/>
      <c r="AD13" s="8">
        <v>0</v>
      </c>
      <c r="AE13" s="8">
        <f>AE8</f>
        <v>9.8225</v>
      </c>
      <c r="AF13" s="7"/>
      <c r="AG13" s="7"/>
      <c r="AH13" s="14">
        <f>AH7</f>
        <v>0</v>
      </c>
      <c r="AI13" s="7">
        <f>AG13*$AH$11</f>
        <v>0</v>
      </c>
      <c r="AK13" s="7"/>
      <c r="AL13" s="15"/>
      <c r="AN13" s="14"/>
    </row>
    <row r="14" spans="16:40" ht="15.75">
      <c r="P14" s="1" t="s">
        <v>62</v>
      </c>
      <c r="V14" s="6" t="s">
        <v>104</v>
      </c>
      <c r="W14" s="32">
        <f>E3*0.0005</f>
        <v>0</v>
      </c>
      <c r="X14" s="7">
        <v>0</v>
      </c>
      <c r="Y14" s="7">
        <v>0</v>
      </c>
      <c r="Z14" s="7"/>
      <c r="AD14" s="8">
        <v>0</v>
      </c>
      <c r="AE14" s="8">
        <v>0</v>
      </c>
      <c r="AG14" s="7"/>
      <c r="AH14" s="14">
        <f>AH7</f>
        <v>0</v>
      </c>
      <c r="AI14" s="8">
        <f>AH9</f>
        <v>0</v>
      </c>
      <c r="AK14" s="7"/>
      <c r="AL14" s="12"/>
      <c r="AN14" s="14"/>
    </row>
    <row r="15" spans="22:40" ht="15.75">
      <c r="V15" s="6" t="s">
        <v>73</v>
      </c>
      <c r="W15" s="53">
        <f>AI2</f>
        <v>0</v>
      </c>
      <c r="AG15" s="7"/>
      <c r="AH15" s="14">
        <f>AH8</f>
        <v>0.5</v>
      </c>
      <c r="AI15" s="8">
        <f>AH9</f>
        <v>0</v>
      </c>
      <c r="AN15" s="16"/>
    </row>
    <row r="16" spans="22:46" ht="15.75">
      <c r="V16" s="1" t="s">
        <v>100</v>
      </c>
      <c r="W16" s="1">
        <f>H4*SIN(H5/180*PI())/(9.81)</f>
        <v>0.0509683995922528</v>
      </c>
      <c r="X16" s="29"/>
      <c r="Y16" s="29"/>
      <c r="Z16" s="29"/>
      <c r="AA16" s="8"/>
      <c r="AC16" s="16"/>
      <c r="AE16" s="13"/>
      <c r="AG16" s="7"/>
      <c r="AH16" s="14">
        <f>AH8</f>
        <v>0.5</v>
      </c>
      <c r="AI16" s="7">
        <v>0</v>
      </c>
      <c r="AN16" s="14"/>
      <c r="AQ16" s="7" t="s">
        <v>140</v>
      </c>
      <c r="AR16" s="7" t="s">
        <v>141</v>
      </c>
      <c r="AS16" s="7" t="s">
        <v>58</v>
      </c>
      <c r="AT16" s="7" t="s">
        <v>142</v>
      </c>
    </row>
    <row r="17" spans="22:51" ht="15.75">
      <c r="V17" s="1" t="s">
        <v>23</v>
      </c>
      <c r="W17" s="27">
        <f>H3+0.5*9.81*W16^2</f>
        <v>10.012742099898063</v>
      </c>
      <c r="AA17" s="8"/>
      <c r="AC17" s="16"/>
      <c r="AE17" s="13"/>
      <c r="AG17" s="7"/>
      <c r="AH17" s="14">
        <f>AH15</f>
        <v>0.5</v>
      </c>
      <c r="AI17" s="7">
        <f>AG17*$AH$11</f>
        <v>0</v>
      </c>
      <c r="AM17" s="31" t="s">
        <v>69</v>
      </c>
      <c r="AQ17" s="22">
        <f>VLOOKUP($W$15,$X$25:$AY$125,20,FALSE)</f>
        <v>9.8225</v>
      </c>
      <c r="AR17" s="22">
        <f>VLOOKUP($W$15,$X$25:$AY$125,21,FALSE)</f>
        <v>9.81</v>
      </c>
      <c r="AS17" s="22">
        <f>VLOOKUP($W$15,$X$25:$AY$125,22,FALSE)</f>
        <v>0.0125</v>
      </c>
      <c r="AT17" s="22">
        <f>AX17</f>
        <v>0</v>
      </c>
      <c r="AU17" s="7"/>
      <c r="AV17" s="7"/>
      <c r="AW17" s="7"/>
      <c r="AX17" s="7">
        <f>VLOOKUP($W$15,$X$25:$AY$125,27,FALSE)</f>
        <v>0</v>
      </c>
      <c r="AY17" s="7"/>
    </row>
    <row r="18" spans="22:40" ht="15.75">
      <c r="V18" s="1" t="s">
        <v>101</v>
      </c>
      <c r="W18" s="1">
        <f>SQRT((W17-N3)*2/9.81)</f>
        <v>1.4287525193143518</v>
      </c>
      <c r="X18" s="29"/>
      <c r="Y18" s="29"/>
      <c r="Z18" s="29"/>
      <c r="AA18" s="8"/>
      <c r="AC18" s="16"/>
      <c r="AE18" s="13"/>
      <c r="AM18" s="21" t="s">
        <v>17</v>
      </c>
      <c r="AN18" s="14">
        <f>H3</f>
        <v>10</v>
      </c>
    </row>
    <row r="19" spans="22:43" ht="15.75">
      <c r="V19" s="1" t="s">
        <v>89</v>
      </c>
      <c r="W19" s="1">
        <f>W16+W18</f>
        <v>1.4797209189066045</v>
      </c>
      <c r="X19" s="29"/>
      <c r="Y19" s="29"/>
      <c r="Z19" s="29"/>
      <c r="AA19" s="8"/>
      <c r="AC19" s="16"/>
      <c r="AE19" s="13"/>
      <c r="AM19" s="21"/>
      <c r="AN19" s="7" t="s">
        <v>10</v>
      </c>
      <c r="AO19" s="7" t="s">
        <v>11</v>
      </c>
      <c r="AP19" s="7"/>
      <c r="AQ19" s="7"/>
    </row>
    <row r="20" spans="22:43" ht="15.75">
      <c r="V20" s="1" t="s">
        <v>87</v>
      </c>
      <c r="W20" s="1">
        <f>0.5*(W16+W18)</f>
        <v>0.7398604594533023</v>
      </c>
      <c r="X20" s="29"/>
      <c r="Y20" s="29"/>
      <c r="Z20" s="29"/>
      <c r="AA20" s="8"/>
      <c r="AC20" s="16"/>
      <c r="AE20" s="13"/>
      <c r="AM20" s="21" t="s">
        <v>46</v>
      </c>
      <c r="AN20" s="14">
        <f>MAX(AH25:AH125)</f>
        <v>0</v>
      </c>
      <c r="AO20" s="14">
        <f>IF(W15&gt;=W19,AH9,VLOOKUP(AN20,AH25:AI125,2,FALSE))</f>
        <v>10</v>
      </c>
      <c r="AP20" s="14"/>
      <c r="AQ20" s="14"/>
    </row>
    <row r="21" spans="22:51" ht="15.75">
      <c r="V21" s="18" t="s">
        <v>88</v>
      </c>
      <c r="W21" s="1">
        <f>W16+W18+W20</f>
        <v>2.2195813783599068</v>
      </c>
      <c r="X21" s="29">
        <v>1</v>
      </c>
      <c r="Y21" s="29">
        <v>2</v>
      </c>
      <c r="Z21" s="29">
        <v>3</v>
      </c>
      <c r="AA21" s="29">
        <v>4</v>
      </c>
      <c r="AB21" s="29">
        <v>5</v>
      </c>
      <c r="AC21" s="29">
        <v>6</v>
      </c>
      <c r="AD21" s="29">
        <v>7</v>
      </c>
      <c r="AE21" s="29">
        <v>8</v>
      </c>
      <c r="AF21" s="29">
        <v>9</v>
      </c>
      <c r="AG21" s="29">
        <v>10</v>
      </c>
      <c r="AH21" s="29">
        <v>11</v>
      </c>
      <c r="AI21" s="29">
        <v>12</v>
      </c>
      <c r="AJ21" s="29">
        <v>13</v>
      </c>
      <c r="AK21" s="29">
        <v>14</v>
      </c>
      <c r="AL21" s="29">
        <v>15</v>
      </c>
      <c r="AM21" s="29">
        <v>16</v>
      </c>
      <c r="AN21" s="29">
        <v>17</v>
      </c>
      <c r="AO21" s="29">
        <v>18</v>
      </c>
      <c r="AP21" s="29">
        <v>19</v>
      </c>
      <c r="AQ21" s="29">
        <v>20</v>
      </c>
      <c r="AR21" s="29">
        <v>21</v>
      </c>
      <c r="AS21" s="29">
        <v>22</v>
      </c>
      <c r="AT21" s="29">
        <v>23</v>
      </c>
      <c r="AU21" s="29">
        <v>24</v>
      </c>
      <c r="AV21" s="29">
        <v>25</v>
      </c>
      <c r="AW21" s="29">
        <v>26</v>
      </c>
      <c r="AX21" s="29">
        <v>27</v>
      </c>
      <c r="AY21" s="29">
        <v>28</v>
      </c>
    </row>
    <row r="22" spans="22:48" ht="15.75">
      <c r="V22" s="1" t="s">
        <v>90</v>
      </c>
      <c r="W22" s="1">
        <v>100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T22" s="1" t="s">
        <v>113</v>
      </c>
      <c r="AU22" s="22" t="s">
        <v>102</v>
      </c>
      <c r="AV22" s="1" t="s">
        <v>103</v>
      </c>
    </row>
    <row r="23" spans="22:48" ht="15.75">
      <c r="V23" s="1" t="s">
        <v>16</v>
      </c>
      <c r="W23" s="42">
        <f>W21/W22</f>
        <v>0.02219581378359907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4"/>
      <c r="AT23" s="14">
        <f>AVERAGE(AT25:AT124)</f>
        <v>0</v>
      </c>
      <c r="AU23" s="20">
        <f>SUM(AU25:AU125)</f>
        <v>0</v>
      </c>
      <c r="AV23" s="14" t="e">
        <f>AV125/AU23</f>
        <v>#DIV/0!</v>
      </c>
    </row>
    <row r="24" spans="22:51" ht="17.25">
      <c r="V24" s="22" t="s">
        <v>14</v>
      </c>
      <c r="W24" s="22" t="s">
        <v>34</v>
      </c>
      <c r="X24" s="22" t="s">
        <v>15</v>
      </c>
      <c r="Y24" s="22" t="s">
        <v>98</v>
      </c>
      <c r="Z24" s="22" t="s">
        <v>99</v>
      </c>
      <c r="AA24" s="22" t="s">
        <v>78</v>
      </c>
      <c r="AB24" s="22" t="s">
        <v>77</v>
      </c>
      <c r="AC24" s="22" t="s">
        <v>85</v>
      </c>
      <c r="AD24" s="22" t="s">
        <v>86</v>
      </c>
      <c r="AE24" s="23" t="s">
        <v>80</v>
      </c>
      <c r="AF24" s="22" t="s">
        <v>10</v>
      </c>
      <c r="AG24" s="22" t="s">
        <v>11</v>
      </c>
      <c r="AH24" s="22" t="s">
        <v>83</v>
      </c>
      <c r="AI24" s="22" t="s">
        <v>84</v>
      </c>
      <c r="AJ24" s="7"/>
      <c r="AK24" s="7"/>
      <c r="AN24" s="24" t="s">
        <v>85</v>
      </c>
      <c r="AO24" s="22" t="s">
        <v>86</v>
      </c>
      <c r="AP24" s="22" t="s">
        <v>79</v>
      </c>
      <c r="AQ24" s="22" t="s">
        <v>57</v>
      </c>
      <c r="AR24" s="22" t="s">
        <v>56</v>
      </c>
      <c r="AS24" s="22" t="s">
        <v>58</v>
      </c>
      <c r="AT24" s="22" t="s">
        <v>111</v>
      </c>
      <c r="AU24" s="22" t="s">
        <v>75</v>
      </c>
      <c r="AV24" s="22" t="s">
        <v>76</v>
      </c>
      <c r="AW24" s="22" t="s">
        <v>81</v>
      </c>
      <c r="AX24" s="6" t="s">
        <v>82</v>
      </c>
      <c r="AY24" s="1" t="s">
        <v>112</v>
      </c>
    </row>
    <row r="25" spans="22:51" ht="15.75">
      <c r="V25" s="7">
        <v>0</v>
      </c>
      <c r="W25" s="16">
        <f>MIN(V25,$P$5)</f>
        <v>0</v>
      </c>
      <c r="X25" s="13">
        <f>MIN(V25*$W$23,$W$15)</f>
        <v>0</v>
      </c>
      <c r="Y25" s="14">
        <f>-$W$14*(AA25^2+AB25^2)/$C$4*COS(AE25/180*PI())</f>
        <v>0</v>
      </c>
      <c r="Z25" s="14">
        <f>-9.81-$W$14*(AA25^2+AB25^2)/$C$4*SIN(AE25/180*PI())</f>
        <v>-9.81</v>
      </c>
      <c r="AA25" s="14">
        <f>$H$4*COS($H$5/180*PI())</f>
        <v>3.06287113727155E-17</v>
      </c>
      <c r="AB25" s="14">
        <f>$H$4*SIN($H$5/180*PI())</f>
        <v>0.5</v>
      </c>
      <c r="AC25" s="14">
        <f>IF(AND(AA25&lt;0,AG25&lt;$N$3),0,AA25)</f>
        <v>3.06287113727155E-17</v>
      </c>
      <c r="AD25" s="14">
        <f>IF(AND(AA25&lt;0,AG25&lt;$N$3),0,AB25)</f>
        <v>0.5</v>
      </c>
      <c r="AE25" s="8">
        <f>H5</f>
        <v>90</v>
      </c>
      <c r="AF25" s="14">
        <v>0</v>
      </c>
      <c r="AG25" s="14">
        <f>$H$3</f>
        <v>10</v>
      </c>
      <c r="AH25" s="25">
        <f>AF25</f>
        <v>0</v>
      </c>
      <c r="AI25" s="14">
        <f>IF(AND(X25&gt;=$W$16,AG25&lt;=$N$3),$AH$9,AG25)</f>
        <v>10</v>
      </c>
      <c r="AJ25" s="26"/>
      <c r="AK25" s="14"/>
      <c r="AN25" s="14">
        <f aca="true" t="shared" si="0" ref="AN25:AO30">AC25</f>
        <v>3.06287113727155E-17</v>
      </c>
      <c r="AO25" s="14">
        <f t="shared" si="0"/>
        <v>0.5</v>
      </c>
      <c r="AP25" s="14">
        <f aca="true" t="shared" si="1" ref="AP25:AP30">SQRT(AN25^2+AO25^2)</f>
        <v>0.5</v>
      </c>
      <c r="AQ25" s="8">
        <f>0.5*$C$4*$H$4^2+$C$4*9.81*$H$3</f>
        <v>9.8225</v>
      </c>
      <c r="AR25" s="8">
        <f aca="true" t="shared" si="2" ref="AR25:AR30">$C$4*9.81*AI25</f>
        <v>9.81</v>
      </c>
      <c r="AS25" s="8">
        <f aca="true" t="shared" si="3" ref="AS25:AS30">0.5*$C$4*AP25^2</f>
        <v>0.0125</v>
      </c>
      <c r="AT25" s="14">
        <f>$W$14*AP25^2</f>
        <v>0</v>
      </c>
      <c r="AU25" s="26">
        <f>AP25*(X26-X25)</f>
        <v>0</v>
      </c>
      <c r="AV25" s="26">
        <f>AT25*AU25</f>
        <v>0</v>
      </c>
      <c r="AW25" s="26">
        <f>IF(AS25=0,AQ25-AR25-AV25,0)</f>
        <v>0</v>
      </c>
      <c r="AX25" s="26">
        <f aca="true" t="shared" si="4" ref="AX25:AX30">AV25+AW25</f>
        <v>0</v>
      </c>
      <c r="AY25" s="26">
        <f>AQ25-AR25-AS25</f>
        <v>-7.112366251504909E-16</v>
      </c>
    </row>
    <row r="26" spans="22:51" ht="15.75">
      <c r="V26" s="16">
        <v>1</v>
      </c>
      <c r="W26" s="16">
        <f aca="true" t="shared" si="5" ref="W26:W88">MIN(V26,$P$5)</f>
        <v>1</v>
      </c>
      <c r="X26" s="13">
        <f aca="true" t="shared" si="6" ref="X26:X89">MIN(V26*$W$23,$W$15)</f>
        <v>0</v>
      </c>
      <c r="Y26" s="14">
        <f>-$W$14*(AA25^2+AB25^2)/$C$4*COS(AE25/180*PI())</f>
        <v>0</v>
      </c>
      <c r="Z26" s="14">
        <f>-9.81-$W$14*(AA25^2+AB25^2)/$C$4*SIN(AE25/180*PI())</f>
        <v>-9.81</v>
      </c>
      <c r="AA26" s="14">
        <f>AA25+Y26*(X26-X25)</f>
        <v>3.06287113727155E-17</v>
      </c>
      <c r="AB26" s="14">
        <f>AB25+Z26*(X26-X25)</f>
        <v>0.5</v>
      </c>
      <c r="AC26" s="14">
        <f>IF(AND(AB26&lt;0,AG26&lt;$N$3),0,AA26)</f>
        <v>3.06287113727155E-17</v>
      </c>
      <c r="AD26" s="14">
        <f>IF(AND(AB26&lt;0,AG26&lt;$N$3),0,AB26)</f>
        <v>0.5</v>
      </c>
      <c r="AE26" s="8">
        <f>ATAN(AB26/AA26)/PI()*180</f>
        <v>90</v>
      </c>
      <c r="AF26" s="14">
        <f>AF25+AA26*(X26-X25)</f>
        <v>0</v>
      </c>
      <c r="AG26" s="14">
        <f>AG25+AB26*(X26-X25)</f>
        <v>10</v>
      </c>
      <c r="AH26" s="25">
        <f>IF(AND(AB26&lt;0,AG26&lt;$N$3),AH25,AF26)</f>
        <v>0</v>
      </c>
      <c r="AI26" s="14">
        <f>IF(AND(AB26&lt;0,AG26&lt;$N$3),$N$3,AG26)</f>
        <v>10</v>
      </c>
      <c r="AJ26" s="14"/>
      <c r="AK26" s="14"/>
      <c r="AN26" s="14">
        <f t="shared" si="0"/>
        <v>3.06287113727155E-17</v>
      </c>
      <c r="AO26" s="14">
        <f t="shared" si="0"/>
        <v>0.5</v>
      </c>
      <c r="AP26" s="14">
        <f t="shared" si="1"/>
        <v>0.5</v>
      </c>
      <c r="AQ26" s="8">
        <f aca="true" t="shared" si="7" ref="AQ26:AQ89">0.5*$C$4*$H$4^2+$C$4*9.81*$H$3</f>
        <v>9.8225</v>
      </c>
      <c r="AR26" s="8">
        <f t="shared" si="2"/>
        <v>9.81</v>
      </c>
      <c r="AS26" s="8">
        <f t="shared" si="3"/>
        <v>0.0125</v>
      </c>
      <c r="AT26" s="14">
        <f aca="true" t="shared" si="8" ref="AT26:AT89">$W$14*AP26^2</f>
        <v>0</v>
      </c>
      <c r="AU26" s="26">
        <f>AP26*(X26-X25)</f>
        <v>0</v>
      </c>
      <c r="AV26" s="26">
        <f>AV25+AT26*AU26</f>
        <v>0</v>
      </c>
      <c r="AW26" s="26">
        <f aca="true" t="shared" si="9" ref="AW26:AW80">IF(AS26=0,AQ26-AR26-AV26,0)</f>
        <v>0</v>
      </c>
      <c r="AX26" s="26">
        <f t="shared" si="4"/>
        <v>0</v>
      </c>
      <c r="AY26" s="26">
        <f aca="true" t="shared" si="10" ref="AY26:AY89">AQ26-AR26-AS26</f>
        <v>-7.112366251504909E-16</v>
      </c>
    </row>
    <row r="27" spans="22:51" ht="15.75">
      <c r="V27" s="16">
        <v>2</v>
      </c>
      <c r="W27" s="16">
        <f t="shared" si="5"/>
        <v>2</v>
      </c>
      <c r="X27" s="13">
        <f t="shared" si="6"/>
        <v>0</v>
      </c>
      <c r="Y27" s="14">
        <f aca="true" t="shared" si="11" ref="Y27:Y90">-$W$14*(AA26^2+AB26^2)/$C$4*COS(AE26/180*PI())</f>
        <v>0</v>
      </c>
      <c r="Z27" s="14">
        <f aca="true" t="shared" si="12" ref="Z27:Z90">-9.81-$W$14*(AA26^2+AB26^2)/$C$4*SIN(AE26/180*PI())</f>
        <v>-9.81</v>
      </c>
      <c r="AA27" s="14">
        <f aca="true" t="shared" si="13" ref="AA27:AA80">AA26+Y27*(X27-X26)</f>
        <v>3.06287113727155E-17</v>
      </c>
      <c r="AB27" s="14">
        <f aca="true" t="shared" si="14" ref="AB27:AB80">AB26+Z27*(X27-X26)</f>
        <v>0.5</v>
      </c>
      <c r="AC27" s="14">
        <f aca="true" t="shared" si="15" ref="AC27:AC80">IF(AND(AB27&lt;0,AG27&lt;$N$3),0,AA27)</f>
        <v>3.06287113727155E-17</v>
      </c>
      <c r="AD27" s="14">
        <f aca="true" t="shared" si="16" ref="AD27:AD80">IF(AND(AB27&lt;0,AG27&lt;$N$3),0,AB27)</f>
        <v>0.5</v>
      </c>
      <c r="AE27" s="8">
        <f aca="true" t="shared" si="17" ref="AE27:AE90">ATAN(AB27/AA27)/PI()*180</f>
        <v>90</v>
      </c>
      <c r="AF27" s="14">
        <f aca="true" t="shared" si="18" ref="AF27:AF80">AF26+AA27*(X27-X26)</f>
        <v>0</v>
      </c>
      <c r="AG27" s="14">
        <f aca="true" t="shared" si="19" ref="AG27:AG80">AG26+AB27*(X27-X26)</f>
        <v>10</v>
      </c>
      <c r="AH27" s="25">
        <f aca="true" t="shared" si="20" ref="AH27:AH50">IF(AND(AB27&lt;0,AG27&lt;$N$3),AH26,AF27)</f>
        <v>0</v>
      </c>
      <c r="AI27" s="14">
        <f aca="true" t="shared" si="21" ref="AI27:AI50">IF(AND(AB27&lt;0,AG27&lt;$N$3),$N$3,AG27)</f>
        <v>10</v>
      </c>
      <c r="AJ27" s="14"/>
      <c r="AK27" s="14"/>
      <c r="AN27" s="14">
        <f t="shared" si="0"/>
        <v>3.06287113727155E-17</v>
      </c>
      <c r="AO27" s="14">
        <f t="shared" si="0"/>
        <v>0.5</v>
      </c>
      <c r="AP27" s="14">
        <f t="shared" si="1"/>
        <v>0.5</v>
      </c>
      <c r="AQ27" s="8">
        <f t="shared" si="7"/>
        <v>9.8225</v>
      </c>
      <c r="AR27" s="8">
        <f t="shared" si="2"/>
        <v>9.81</v>
      </c>
      <c r="AS27" s="8">
        <f t="shared" si="3"/>
        <v>0.0125</v>
      </c>
      <c r="AT27" s="14">
        <f t="shared" si="8"/>
        <v>0</v>
      </c>
      <c r="AU27" s="26">
        <f aca="true" t="shared" si="22" ref="AU27:AU80">AP27*(X27-X26)</f>
        <v>0</v>
      </c>
      <c r="AV27" s="26">
        <f aca="true" t="shared" si="23" ref="AV27:AV33">AV26+AT27*AU27</f>
        <v>0</v>
      </c>
      <c r="AW27" s="26">
        <f t="shared" si="9"/>
        <v>0</v>
      </c>
      <c r="AX27" s="26">
        <f t="shared" si="4"/>
        <v>0</v>
      </c>
      <c r="AY27" s="26">
        <f t="shared" si="10"/>
        <v>-7.112366251504909E-16</v>
      </c>
    </row>
    <row r="28" spans="22:51" ht="15.75">
      <c r="V28" s="16">
        <v>3</v>
      </c>
      <c r="W28" s="16">
        <f t="shared" si="5"/>
        <v>3</v>
      </c>
      <c r="X28" s="13">
        <f t="shared" si="6"/>
        <v>0</v>
      </c>
      <c r="Y28" s="14">
        <f t="shared" si="11"/>
        <v>0</v>
      </c>
      <c r="Z28" s="14">
        <f t="shared" si="12"/>
        <v>-9.81</v>
      </c>
      <c r="AA28" s="14">
        <f t="shared" si="13"/>
        <v>3.06287113727155E-17</v>
      </c>
      <c r="AB28" s="14">
        <f t="shared" si="14"/>
        <v>0.5</v>
      </c>
      <c r="AC28" s="14">
        <f t="shared" si="15"/>
        <v>3.06287113727155E-17</v>
      </c>
      <c r="AD28" s="14">
        <f t="shared" si="16"/>
        <v>0.5</v>
      </c>
      <c r="AE28" s="8">
        <f t="shared" si="17"/>
        <v>90</v>
      </c>
      <c r="AF28" s="14">
        <f t="shared" si="18"/>
        <v>0</v>
      </c>
      <c r="AG28" s="14">
        <f t="shared" si="19"/>
        <v>10</v>
      </c>
      <c r="AH28" s="25">
        <f t="shared" si="20"/>
        <v>0</v>
      </c>
      <c r="AI28" s="14">
        <f t="shared" si="21"/>
        <v>10</v>
      </c>
      <c r="AJ28" s="14"/>
      <c r="AK28" s="14"/>
      <c r="AN28" s="14">
        <f t="shared" si="0"/>
        <v>3.06287113727155E-17</v>
      </c>
      <c r="AO28" s="14">
        <f t="shared" si="0"/>
        <v>0.5</v>
      </c>
      <c r="AP28" s="14">
        <f t="shared" si="1"/>
        <v>0.5</v>
      </c>
      <c r="AQ28" s="8">
        <f t="shared" si="7"/>
        <v>9.8225</v>
      </c>
      <c r="AR28" s="8">
        <f t="shared" si="2"/>
        <v>9.81</v>
      </c>
      <c r="AS28" s="8">
        <f t="shared" si="3"/>
        <v>0.0125</v>
      </c>
      <c r="AT28" s="14">
        <f t="shared" si="8"/>
        <v>0</v>
      </c>
      <c r="AU28" s="26">
        <f t="shared" si="22"/>
        <v>0</v>
      </c>
      <c r="AV28" s="26">
        <f t="shared" si="23"/>
        <v>0</v>
      </c>
      <c r="AW28" s="26">
        <f t="shared" si="9"/>
        <v>0</v>
      </c>
      <c r="AX28" s="26">
        <f t="shared" si="4"/>
        <v>0</v>
      </c>
      <c r="AY28" s="26">
        <f t="shared" si="10"/>
        <v>-7.112366251504909E-16</v>
      </c>
    </row>
    <row r="29" spans="22:51" ht="15.75">
      <c r="V29" s="7">
        <v>4</v>
      </c>
      <c r="W29" s="16">
        <f t="shared" si="5"/>
        <v>4</v>
      </c>
      <c r="X29" s="13">
        <f t="shared" si="6"/>
        <v>0</v>
      </c>
      <c r="Y29" s="14">
        <f t="shared" si="11"/>
        <v>0</v>
      </c>
      <c r="Z29" s="14">
        <f t="shared" si="12"/>
        <v>-9.81</v>
      </c>
      <c r="AA29" s="14">
        <f t="shared" si="13"/>
        <v>3.06287113727155E-17</v>
      </c>
      <c r="AB29" s="14">
        <f t="shared" si="14"/>
        <v>0.5</v>
      </c>
      <c r="AC29" s="14">
        <f t="shared" si="15"/>
        <v>3.06287113727155E-17</v>
      </c>
      <c r="AD29" s="14">
        <f t="shared" si="16"/>
        <v>0.5</v>
      </c>
      <c r="AE29" s="8">
        <f t="shared" si="17"/>
        <v>90</v>
      </c>
      <c r="AF29" s="14">
        <f t="shared" si="18"/>
        <v>0</v>
      </c>
      <c r="AG29" s="14">
        <f t="shared" si="19"/>
        <v>10</v>
      </c>
      <c r="AH29" s="25">
        <f t="shared" si="20"/>
        <v>0</v>
      </c>
      <c r="AI29" s="14">
        <f t="shared" si="21"/>
        <v>10</v>
      </c>
      <c r="AJ29" s="14"/>
      <c r="AK29" s="14"/>
      <c r="AL29" s="7"/>
      <c r="AN29" s="14">
        <f t="shared" si="0"/>
        <v>3.06287113727155E-17</v>
      </c>
      <c r="AO29" s="14">
        <f t="shared" si="0"/>
        <v>0.5</v>
      </c>
      <c r="AP29" s="14">
        <f t="shared" si="1"/>
        <v>0.5</v>
      </c>
      <c r="AQ29" s="8">
        <f t="shared" si="7"/>
        <v>9.8225</v>
      </c>
      <c r="AR29" s="8">
        <f t="shared" si="2"/>
        <v>9.81</v>
      </c>
      <c r="AS29" s="8">
        <f t="shared" si="3"/>
        <v>0.0125</v>
      </c>
      <c r="AT29" s="14">
        <f t="shared" si="8"/>
        <v>0</v>
      </c>
      <c r="AU29" s="26">
        <f t="shared" si="22"/>
        <v>0</v>
      </c>
      <c r="AV29" s="26">
        <f t="shared" si="23"/>
        <v>0</v>
      </c>
      <c r="AW29" s="26">
        <f t="shared" si="9"/>
        <v>0</v>
      </c>
      <c r="AX29" s="26">
        <f t="shared" si="4"/>
        <v>0</v>
      </c>
      <c r="AY29" s="26">
        <f t="shared" si="10"/>
        <v>-7.112366251504909E-16</v>
      </c>
    </row>
    <row r="30" spans="11:51" ht="30.75">
      <c r="K30" s="64" t="s">
        <v>148</v>
      </c>
      <c r="N30" s="63" t="s">
        <v>147</v>
      </c>
      <c r="V30" s="16">
        <v>5</v>
      </c>
      <c r="W30" s="16">
        <f t="shared" si="5"/>
        <v>5</v>
      </c>
      <c r="X30" s="13">
        <f t="shared" si="6"/>
        <v>0</v>
      </c>
      <c r="Y30" s="14">
        <f t="shared" si="11"/>
        <v>0</v>
      </c>
      <c r="Z30" s="14">
        <f t="shared" si="12"/>
        <v>-9.81</v>
      </c>
      <c r="AA30" s="14">
        <f t="shared" si="13"/>
        <v>3.06287113727155E-17</v>
      </c>
      <c r="AB30" s="14">
        <f t="shared" si="14"/>
        <v>0.5</v>
      </c>
      <c r="AC30" s="14">
        <f t="shared" si="15"/>
        <v>3.06287113727155E-17</v>
      </c>
      <c r="AD30" s="14">
        <f t="shared" si="16"/>
        <v>0.5</v>
      </c>
      <c r="AE30" s="8">
        <f t="shared" si="17"/>
        <v>90</v>
      </c>
      <c r="AF30" s="14">
        <f t="shared" si="18"/>
        <v>0</v>
      </c>
      <c r="AG30" s="14">
        <f t="shared" si="19"/>
        <v>10</v>
      </c>
      <c r="AH30" s="25">
        <f t="shared" si="20"/>
        <v>0</v>
      </c>
      <c r="AI30" s="14">
        <f t="shared" si="21"/>
        <v>10</v>
      </c>
      <c r="AJ30" s="14"/>
      <c r="AK30" s="14"/>
      <c r="AL30" s="7"/>
      <c r="AN30" s="14">
        <f t="shared" si="0"/>
        <v>3.06287113727155E-17</v>
      </c>
      <c r="AO30" s="14">
        <f t="shared" si="0"/>
        <v>0.5</v>
      </c>
      <c r="AP30" s="14">
        <f t="shared" si="1"/>
        <v>0.5</v>
      </c>
      <c r="AQ30" s="8">
        <f t="shared" si="7"/>
        <v>9.8225</v>
      </c>
      <c r="AR30" s="8">
        <f t="shared" si="2"/>
        <v>9.81</v>
      </c>
      <c r="AS30" s="8">
        <f t="shared" si="3"/>
        <v>0.0125</v>
      </c>
      <c r="AT30" s="14">
        <f t="shared" si="8"/>
        <v>0</v>
      </c>
      <c r="AU30" s="26">
        <f t="shared" si="22"/>
        <v>0</v>
      </c>
      <c r="AV30" s="26">
        <f t="shared" si="23"/>
        <v>0</v>
      </c>
      <c r="AW30" s="26">
        <f t="shared" si="9"/>
        <v>0</v>
      </c>
      <c r="AX30" s="26">
        <f t="shared" si="4"/>
        <v>0</v>
      </c>
      <c r="AY30" s="26">
        <f t="shared" si="10"/>
        <v>-7.112366251504909E-16</v>
      </c>
    </row>
    <row r="31" spans="22:51" ht="15.75">
      <c r="V31" s="16">
        <v>6</v>
      </c>
      <c r="W31" s="16">
        <f t="shared" si="5"/>
        <v>6</v>
      </c>
      <c r="X31" s="13">
        <f t="shared" si="6"/>
        <v>0</v>
      </c>
      <c r="Y31" s="14">
        <f t="shared" si="11"/>
        <v>0</v>
      </c>
      <c r="Z31" s="14">
        <f t="shared" si="12"/>
        <v>-9.81</v>
      </c>
      <c r="AA31" s="14">
        <f t="shared" si="13"/>
        <v>3.06287113727155E-17</v>
      </c>
      <c r="AB31" s="14">
        <f t="shared" si="14"/>
        <v>0.5</v>
      </c>
      <c r="AC31" s="14">
        <f t="shared" si="15"/>
        <v>3.06287113727155E-17</v>
      </c>
      <c r="AD31" s="14">
        <f t="shared" si="16"/>
        <v>0.5</v>
      </c>
      <c r="AE31" s="8">
        <f t="shared" si="17"/>
        <v>90</v>
      </c>
      <c r="AF31" s="14">
        <f t="shared" si="18"/>
        <v>0</v>
      </c>
      <c r="AG31" s="14">
        <f t="shared" si="19"/>
        <v>10</v>
      </c>
      <c r="AH31" s="25">
        <f t="shared" si="20"/>
        <v>0</v>
      </c>
      <c r="AI31" s="14">
        <f t="shared" si="21"/>
        <v>10</v>
      </c>
      <c r="AJ31" s="14"/>
      <c r="AK31" s="14"/>
      <c r="AL31" s="7"/>
      <c r="AN31" s="14">
        <f aca="true" t="shared" si="24" ref="AN31:AN65">AC31</f>
        <v>3.06287113727155E-17</v>
      </c>
      <c r="AO31" s="14">
        <f aca="true" t="shared" si="25" ref="AO31:AO65">AD31</f>
        <v>0.5</v>
      </c>
      <c r="AP31" s="14">
        <f aca="true" t="shared" si="26" ref="AP31:AP65">SQRT(AN31^2+AO31^2)</f>
        <v>0.5</v>
      </c>
      <c r="AQ31" s="8">
        <f t="shared" si="7"/>
        <v>9.8225</v>
      </c>
      <c r="AR31" s="8">
        <f aca="true" t="shared" si="27" ref="AR31:AR65">$C$4*9.81*AI31</f>
        <v>9.81</v>
      </c>
      <c r="AS31" s="8">
        <f aca="true" t="shared" si="28" ref="AS31:AS65">0.5*$C$4*AP31^2</f>
        <v>0.0125</v>
      </c>
      <c r="AT31" s="14">
        <f t="shared" si="8"/>
        <v>0</v>
      </c>
      <c r="AU31" s="26">
        <f t="shared" si="22"/>
        <v>0</v>
      </c>
      <c r="AV31" s="26">
        <f t="shared" si="23"/>
        <v>0</v>
      </c>
      <c r="AW31" s="26">
        <f t="shared" si="9"/>
        <v>0</v>
      </c>
      <c r="AX31" s="26">
        <f aca="true" t="shared" si="29" ref="AX31:AX65">AV31+AW31</f>
        <v>0</v>
      </c>
      <c r="AY31" s="26">
        <f t="shared" si="10"/>
        <v>-7.112366251504909E-16</v>
      </c>
    </row>
    <row r="32" spans="22:51" ht="15.75">
      <c r="V32" s="16">
        <v>7</v>
      </c>
      <c r="W32" s="16">
        <f t="shared" si="5"/>
        <v>7</v>
      </c>
      <c r="X32" s="13">
        <f t="shared" si="6"/>
        <v>0</v>
      </c>
      <c r="Y32" s="14">
        <f t="shared" si="11"/>
        <v>0</v>
      </c>
      <c r="Z32" s="14">
        <f t="shared" si="12"/>
        <v>-9.81</v>
      </c>
      <c r="AA32" s="14">
        <f t="shared" si="13"/>
        <v>3.06287113727155E-17</v>
      </c>
      <c r="AB32" s="14">
        <f t="shared" si="14"/>
        <v>0.5</v>
      </c>
      <c r="AC32" s="14">
        <f t="shared" si="15"/>
        <v>3.06287113727155E-17</v>
      </c>
      <c r="AD32" s="14">
        <f t="shared" si="16"/>
        <v>0.5</v>
      </c>
      <c r="AE32" s="8">
        <f t="shared" si="17"/>
        <v>90</v>
      </c>
      <c r="AF32" s="14">
        <f t="shared" si="18"/>
        <v>0</v>
      </c>
      <c r="AG32" s="14">
        <f t="shared" si="19"/>
        <v>10</v>
      </c>
      <c r="AH32" s="25">
        <f t="shared" si="20"/>
        <v>0</v>
      </c>
      <c r="AI32" s="14">
        <f t="shared" si="21"/>
        <v>10</v>
      </c>
      <c r="AJ32" s="14"/>
      <c r="AK32" s="14"/>
      <c r="AL32" s="7"/>
      <c r="AN32" s="14">
        <f t="shared" si="24"/>
        <v>3.06287113727155E-17</v>
      </c>
      <c r="AO32" s="14">
        <f t="shared" si="25"/>
        <v>0.5</v>
      </c>
      <c r="AP32" s="14">
        <f t="shared" si="26"/>
        <v>0.5</v>
      </c>
      <c r="AQ32" s="8">
        <f t="shared" si="7"/>
        <v>9.8225</v>
      </c>
      <c r="AR32" s="8">
        <f t="shared" si="27"/>
        <v>9.81</v>
      </c>
      <c r="AS32" s="8">
        <f t="shared" si="28"/>
        <v>0.0125</v>
      </c>
      <c r="AT32" s="14">
        <f t="shared" si="8"/>
        <v>0</v>
      </c>
      <c r="AU32" s="26">
        <f t="shared" si="22"/>
        <v>0</v>
      </c>
      <c r="AV32" s="26">
        <f t="shared" si="23"/>
        <v>0</v>
      </c>
      <c r="AW32" s="26">
        <f t="shared" si="9"/>
        <v>0</v>
      </c>
      <c r="AX32" s="26">
        <f t="shared" si="29"/>
        <v>0</v>
      </c>
      <c r="AY32" s="26">
        <f t="shared" si="10"/>
        <v>-7.112366251504909E-16</v>
      </c>
    </row>
    <row r="33" spans="22:51" ht="15.75">
      <c r="V33" s="7">
        <v>8</v>
      </c>
      <c r="W33" s="16">
        <f t="shared" si="5"/>
        <v>8</v>
      </c>
      <c r="X33" s="13">
        <f t="shared" si="6"/>
        <v>0</v>
      </c>
      <c r="Y33" s="14">
        <f t="shared" si="11"/>
        <v>0</v>
      </c>
      <c r="Z33" s="14">
        <f t="shared" si="12"/>
        <v>-9.81</v>
      </c>
      <c r="AA33" s="14">
        <f t="shared" si="13"/>
        <v>3.06287113727155E-17</v>
      </c>
      <c r="AB33" s="14">
        <f t="shared" si="14"/>
        <v>0.5</v>
      </c>
      <c r="AC33" s="14">
        <f t="shared" si="15"/>
        <v>3.06287113727155E-17</v>
      </c>
      <c r="AD33" s="14">
        <f t="shared" si="16"/>
        <v>0.5</v>
      </c>
      <c r="AE33" s="8">
        <f t="shared" si="17"/>
        <v>90</v>
      </c>
      <c r="AF33" s="14">
        <f t="shared" si="18"/>
        <v>0</v>
      </c>
      <c r="AG33" s="14">
        <f t="shared" si="19"/>
        <v>10</v>
      </c>
      <c r="AH33" s="25">
        <f t="shared" si="20"/>
        <v>0</v>
      </c>
      <c r="AI33" s="14">
        <f t="shared" si="21"/>
        <v>10</v>
      </c>
      <c r="AJ33" s="14"/>
      <c r="AK33" s="14"/>
      <c r="AL33" s="7"/>
      <c r="AN33" s="14">
        <f t="shared" si="24"/>
        <v>3.06287113727155E-17</v>
      </c>
      <c r="AO33" s="14">
        <f t="shared" si="25"/>
        <v>0.5</v>
      </c>
      <c r="AP33" s="14">
        <f t="shared" si="26"/>
        <v>0.5</v>
      </c>
      <c r="AQ33" s="8">
        <f t="shared" si="7"/>
        <v>9.8225</v>
      </c>
      <c r="AR33" s="8">
        <f t="shared" si="27"/>
        <v>9.81</v>
      </c>
      <c r="AS33" s="8">
        <f t="shared" si="28"/>
        <v>0.0125</v>
      </c>
      <c r="AT33" s="14">
        <f t="shared" si="8"/>
        <v>0</v>
      </c>
      <c r="AU33" s="26">
        <f t="shared" si="22"/>
        <v>0</v>
      </c>
      <c r="AV33" s="26">
        <f t="shared" si="23"/>
        <v>0</v>
      </c>
      <c r="AW33" s="26">
        <f t="shared" si="9"/>
        <v>0</v>
      </c>
      <c r="AX33" s="26">
        <f t="shared" si="29"/>
        <v>0</v>
      </c>
      <c r="AY33" s="26">
        <f t="shared" si="10"/>
        <v>-7.112366251504909E-16</v>
      </c>
    </row>
    <row r="34" spans="22:51" ht="15.75">
      <c r="V34" s="16">
        <v>9</v>
      </c>
      <c r="W34" s="16">
        <f t="shared" si="5"/>
        <v>9</v>
      </c>
      <c r="X34" s="13">
        <f t="shared" si="6"/>
        <v>0</v>
      </c>
      <c r="Y34" s="14">
        <f t="shared" si="11"/>
        <v>0</v>
      </c>
      <c r="Z34" s="14">
        <f t="shared" si="12"/>
        <v>-9.81</v>
      </c>
      <c r="AA34" s="14">
        <f t="shared" si="13"/>
        <v>3.06287113727155E-17</v>
      </c>
      <c r="AB34" s="14">
        <f t="shared" si="14"/>
        <v>0.5</v>
      </c>
      <c r="AC34" s="14">
        <f t="shared" si="15"/>
        <v>3.06287113727155E-17</v>
      </c>
      <c r="AD34" s="14">
        <f t="shared" si="16"/>
        <v>0.5</v>
      </c>
      <c r="AE34" s="8">
        <f t="shared" si="17"/>
        <v>90</v>
      </c>
      <c r="AF34" s="14">
        <f t="shared" si="18"/>
        <v>0</v>
      </c>
      <c r="AG34" s="14">
        <f t="shared" si="19"/>
        <v>10</v>
      </c>
      <c r="AH34" s="25">
        <f t="shared" si="20"/>
        <v>0</v>
      </c>
      <c r="AI34" s="14">
        <f t="shared" si="21"/>
        <v>10</v>
      </c>
      <c r="AJ34" s="14"/>
      <c r="AK34" s="14"/>
      <c r="AL34" s="7"/>
      <c r="AN34" s="14">
        <f t="shared" si="24"/>
        <v>3.06287113727155E-17</v>
      </c>
      <c r="AO34" s="14">
        <f t="shared" si="25"/>
        <v>0.5</v>
      </c>
      <c r="AP34" s="14">
        <f t="shared" si="26"/>
        <v>0.5</v>
      </c>
      <c r="AQ34" s="8">
        <f t="shared" si="7"/>
        <v>9.8225</v>
      </c>
      <c r="AR34" s="8">
        <f t="shared" si="27"/>
        <v>9.81</v>
      </c>
      <c r="AS34" s="8">
        <f t="shared" si="28"/>
        <v>0.0125</v>
      </c>
      <c r="AT34" s="14">
        <f t="shared" si="8"/>
        <v>0</v>
      </c>
      <c r="AU34" s="26">
        <f t="shared" si="22"/>
        <v>0</v>
      </c>
      <c r="AV34" s="26">
        <f aca="true" t="shared" si="30" ref="AV34:AV90">AV33+AT34*AU34</f>
        <v>0</v>
      </c>
      <c r="AW34" s="26">
        <f t="shared" si="9"/>
        <v>0</v>
      </c>
      <c r="AX34" s="26">
        <f t="shared" si="29"/>
        <v>0</v>
      </c>
      <c r="AY34" s="26">
        <f t="shared" si="10"/>
        <v>-7.112366251504909E-16</v>
      </c>
    </row>
    <row r="35" spans="22:51" ht="15.75">
      <c r="V35" s="16">
        <v>10</v>
      </c>
      <c r="W35" s="16">
        <f t="shared" si="5"/>
        <v>10</v>
      </c>
      <c r="X35" s="13">
        <f t="shared" si="6"/>
        <v>0</v>
      </c>
      <c r="Y35" s="14">
        <f t="shared" si="11"/>
        <v>0</v>
      </c>
      <c r="Z35" s="14">
        <f t="shared" si="12"/>
        <v>-9.81</v>
      </c>
      <c r="AA35" s="14">
        <f t="shared" si="13"/>
        <v>3.06287113727155E-17</v>
      </c>
      <c r="AB35" s="14">
        <f t="shared" si="14"/>
        <v>0.5</v>
      </c>
      <c r="AC35" s="14">
        <f t="shared" si="15"/>
        <v>3.06287113727155E-17</v>
      </c>
      <c r="AD35" s="14">
        <f t="shared" si="16"/>
        <v>0.5</v>
      </c>
      <c r="AE35" s="8">
        <f t="shared" si="17"/>
        <v>90</v>
      </c>
      <c r="AF35" s="14">
        <f t="shared" si="18"/>
        <v>0</v>
      </c>
      <c r="AG35" s="14">
        <f t="shared" si="19"/>
        <v>10</v>
      </c>
      <c r="AH35" s="25">
        <f t="shared" si="20"/>
        <v>0</v>
      </c>
      <c r="AI35" s="14">
        <f t="shared" si="21"/>
        <v>10</v>
      </c>
      <c r="AJ35" s="14"/>
      <c r="AK35" s="14"/>
      <c r="AL35" s="7"/>
      <c r="AN35" s="14">
        <f t="shared" si="24"/>
        <v>3.06287113727155E-17</v>
      </c>
      <c r="AO35" s="14">
        <f t="shared" si="25"/>
        <v>0.5</v>
      </c>
      <c r="AP35" s="14">
        <f t="shared" si="26"/>
        <v>0.5</v>
      </c>
      <c r="AQ35" s="8">
        <f t="shared" si="7"/>
        <v>9.8225</v>
      </c>
      <c r="AR35" s="8">
        <f t="shared" si="27"/>
        <v>9.81</v>
      </c>
      <c r="AS35" s="8">
        <f t="shared" si="28"/>
        <v>0.0125</v>
      </c>
      <c r="AT35" s="14">
        <f t="shared" si="8"/>
        <v>0</v>
      </c>
      <c r="AU35" s="26">
        <f t="shared" si="22"/>
        <v>0</v>
      </c>
      <c r="AV35" s="26">
        <f t="shared" si="30"/>
        <v>0</v>
      </c>
      <c r="AW35" s="26">
        <f t="shared" si="9"/>
        <v>0</v>
      </c>
      <c r="AX35" s="26">
        <f t="shared" si="29"/>
        <v>0</v>
      </c>
      <c r="AY35" s="26">
        <f t="shared" si="10"/>
        <v>-7.112366251504909E-16</v>
      </c>
    </row>
    <row r="36" spans="22:51" ht="15.75">
      <c r="V36" s="16">
        <v>11</v>
      </c>
      <c r="W36" s="16">
        <f t="shared" si="5"/>
        <v>11</v>
      </c>
      <c r="X36" s="13">
        <f t="shared" si="6"/>
        <v>0</v>
      </c>
      <c r="Y36" s="14">
        <f t="shared" si="11"/>
        <v>0</v>
      </c>
      <c r="Z36" s="14">
        <f t="shared" si="12"/>
        <v>-9.81</v>
      </c>
      <c r="AA36" s="14">
        <f t="shared" si="13"/>
        <v>3.06287113727155E-17</v>
      </c>
      <c r="AB36" s="14">
        <f t="shared" si="14"/>
        <v>0.5</v>
      </c>
      <c r="AC36" s="14">
        <f t="shared" si="15"/>
        <v>3.06287113727155E-17</v>
      </c>
      <c r="AD36" s="14">
        <f t="shared" si="16"/>
        <v>0.5</v>
      </c>
      <c r="AE36" s="8">
        <f t="shared" si="17"/>
        <v>90</v>
      </c>
      <c r="AF36" s="14">
        <f t="shared" si="18"/>
        <v>0</v>
      </c>
      <c r="AG36" s="14">
        <f t="shared" si="19"/>
        <v>10</v>
      </c>
      <c r="AH36" s="25">
        <f t="shared" si="20"/>
        <v>0</v>
      </c>
      <c r="AI36" s="14">
        <f t="shared" si="21"/>
        <v>10</v>
      </c>
      <c r="AJ36" s="14"/>
      <c r="AK36" s="14"/>
      <c r="AL36" s="7"/>
      <c r="AN36" s="14">
        <f t="shared" si="24"/>
        <v>3.06287113727155E-17</v>
      </c>
      <c r="AO36" s="14">
        <f t="shared" si="25"/>
        <v>0.5</v>
      </c>
      <c r="AP36" s="14">
        <f t="shared" si="26"/>
        <v>0.5</v>
      </c>
      <c r="AQ36" s="8">
        <f t="shared" si="7"/>
        <v>9.8225</v>
      </c>
      <c r="AR36" s="8">
        <f t="shared" si="27"/>
        <v>9.81</v>
      </c>
      <c r="AS36" s="8">
        <f t="shared" si="28"/>
        <v>0.0125</v>
      </c>
      <c r="AT36" s="14">
        <f t="shared" si="8"/>
        <v>0</v>
      </c>
      <c r="AU36" s="26">
        <f t="shared" si="22"/>
        <v>0</v>
      </c>
      <c r="AV36" s="26">
        <f t="shared" si="30"/>
        <v>0</v>
      </c>
      <c r="AW36" s="26">
        <f t="shared" si="9"/>
        <v>0</v>
      </c>
      <c r="AX36" s="26">
        <f t="shared" si="29"/>
        <v>0</v>
      </c>
      <c r="AY36" s="26">
        <f t="shared" si="10"/>
        <v>-7.112366251504909E-16</v>
      </c>
    </row>
    <row r="37" spans="22:51" ht="15.75">
      <c r="V37" s="7">
        <v>12</v>
      </c>
      <c r="W37" s="16">
        <f t="shared" si="5"/>
        <v>12</v>
      </c>
      <c r="X37" s="13">
        <f t="shared" si="6"/>
        <v>0</v>
      </c>
      <c r="Y37" s="14">
        <f t="shared" si="11"/>
        <v>0</v>
      </c>
      <c r="Z37" s="14">
        <f t="shared" si="12"/>
        <v>-9.81</v>
      </c>
      <c r="AA37" s="14">
        <f t="shared" si="13"/>
        <v>3.06287113727155E-17</v>
      </c>
      <c r="AB37" s="14">
        <f t="shared" si="14"/>
        <v>0.5</v>
      </c>
      <c r="AC37" s="14">
        <f t="shared" si="15"/>
        <v>3.06287113727155E-17</v>
      </c>
      <c r="AD37" s="14">
        <f t="shared" si="16"/>
        <v>0.5</v>
      </c>
      <c r="AE37" s="8">
        <f t="shared" si="17"/>
        <v>90</v>
      </c>
      <c r="AF37" s="14">
        <f t="shared" si="18"/>
        <v>0</v>
      </c>
      <c r="AG37" s="14">
        <f t="shared" si="19"/>
        <v>10</v>
      </c>
      <c r="AH37" s="25">
        <f t="shared" si="20"/>
        <v>0</v>
      </c>
      <c r="AI37" s="14">
        <f t="shared" si="21"/>
        <v>10</v>
      </c>
      <c r="AJ37" s="14"/>
      <c r="AK37" s="14"/>
      <c r="AL37" s="7"/>
      <c r="AN37" s="14">
        <f t="shared" si="24"/>
        <v>3.06287113727155E-17</v>
      </c>
      <c r="AO37" s="14">
        <f t="shared" si="25"/>
        <v>0.5</v>
      </c>
      <c r="AP37" s="14">
        <f t="shared" si="26"/>
        <v>0.5</v>
      </c>
      <c r="AQ37" s="8">
        <f t="shared" si="7"/>
        <v>9.8225</v>
      </c>
      <c r="AR37" s="8">
        <f t="shared" si="27"/>
        <v>9.81</v>
      </c>
      <c r="AS37" s="8">
        <f t="shared" si="28"/>
        <v>0.0125</v>
      </c>
      <c r="AT37" s="14">
        <f t="shared" si="8"/>
        <v>0</v>
      </c>
      <c r="AU37" s="26">
        <f t="shared" si="22"/>
        <v>0</v>
      </c>
      <c r="AV37" s="26">
        <f t="shared" si="30"/>
        <v>0</v>
      </c>
      <c r="AW37" s="26">
        <f t="shared" si="9"/>
        <v>0</v>
      </c>
      <c r="AX37" s="26">
        <f t="shared" si="29"/>
        <v>0</v>
      </c>
      <c r="AY37" s="26">
        <f t="shared" si="10"/>
        <v>-7.112366251504909E-16</v>
      </c>
    </row>
    <row r="38" spans="22:51" ht="15.75">
      <c r="V38" s="16">
        <v>13</v>
      </c>
      <c r="W38" s="16">
        <f t="shared" si="5"/>
        <v>13</v>
      </c>
      <c r="X38" s="13">
        <f t="shared" si="6"/>
        <v>0</v>
      </c>
      <c r="Y38" s="14">
        <f t="shared" si="11"/>
        <v>0</v>
      </c>
      <c r="Z38" s="14">
        <f t="shared" si="12"/>
        <v>-9.81</v>
      </c>
      <c r="AA38" s="14">
        <f t="shared" si="13"/>
        <v>3.06287113727155E-17</v>
      </c>
      <c r="AB38" s="14">
        <f t="shared" si="14"/>
        <v>0.5</v>
      </c>
      <c r="AC38" s="14">
        <f t="shared" si="15"/>
        <v>3.06287113727155E-17</v>
      </c>
      <c r="AD38" s="14">
        <f t="shared" si="16"/>
        <v>0.5</v>
      </c>
      <c r="AE38" s="8">
        <f t="shared" si="17"/>
        <v>90</v>
      </c>
      <c r="AF38" s="14">
        <f t="shared" si="18"/>
        <v>0</v>
      </c>
      <c r="AG38" s="14">
        <f t="shared" si="19"/>
        <v>10</v>
      </c>
      <c r="AH38" s="25">
        <f t="shared" si="20"/>
        <v>0</v>
      </c>
      <c r="AI38" s="14">
        <f t="shared" si="21"/>
        <v>10</v>
      </c>
      <c r="AJ38" s="14"/>
      <c r="AK38" s="14"/>
      <c r="AL38" s="7"/>
      <c r="AN38" s="14">
        <f t="shared" si="24"/>
        <v>3.06287113727155E-17</v>
      </c>
      <c r="AO38" s="14">
        <f t="shared" si="25"/>
        <v>0.5</v>
      </c>
      <c r="AP38" s="14">
        <f t="shared" si="26"/>
        <v>0.5</v>
      </c>
      <c r="AQ38" s="8">
        <f t="shared" si="7"/>
        <v>9.8225</v>
      </c>
      <c r="AR38" s="8">
        <f t="shared" si="27"/>
        <v>9.81</v>
      </c>
      <c r="AS38" s="8">
        <f t="shared" si="28"/>
        <v>0.0125</v>
      </c>
      <c r="AT38" s="14">
        <f t="shared" si="8"/>
        <v>0</v>
      </c>
      <c r="AU38" s="26">
        <f t="shared" si="22"/>
        <v>0</v>
      </c>
      <c r="AV38" s="26">
        <f t="shared" si="30"/>
        <v>0</v>
      </c>
      <c r="AW38" s="26">
        <f t="shared" si="9"/>
        <v>0</v>
      </c>
      <c r="AX38" s="26">
        <f t="shared" si="29"/>
        <v>0</v>
      </c>
      <c r="AY38" s="26">
        <f t="shared" si="10"/>
        <v>-7.112366251504909E-16</v>
      </c>
    </row>
    <row r="39" spans="22:51" ht="15.75">
      <c r="V39" s="16">
        <v>14</v>
      </c>
      <c r="W39" s="16">
        <f t="shared" si="5"/>
        <v>14</v>
      </c>
      <c r="X39" s="13">
        <f t="shared" si="6"/>
        <v>0</v>
      </c>
      <c r="Y39" s="14">
        <f t="shared" si="11"/>
        <v>0</v>
      </c>
      <c r="Z39" s="14">
        <f t="shared" si="12"/>
        <v>-9.81</v>
      </c>
      <c r="AA39" s="14">
        <f t="shared" si="13"/>
        <v>3.06287113727155E-17</v>
      </c>
      <c r="AB39" s="14">
        <f t="shared" si="14"/>
        <v>0.5</v>
      </c>
      <c r="AC39" s="14">
        <f t="shared" si="15"/>
        <v>3.06287113727155E-17</v>
      </c>
      <c r="AD39" s="14">
        <f t="shared" si="16"/>
        <v>0.5</v>
      </c>
      <c r="AE39" s="8">
        <f t="shared" si="17"/>
        <v>90</v>
      </c>
      <c r="AF39" s="14">
        <f t="shared" si="18"/>
        <v>0</v>
      </c>
      <c r="AG39" s="14">
        <f t="shared" si="19"/>
        <v>10</v>
      </c>
      <c r="AH39" s="25">
        <f t="shared" si="20"/>
        <v>0</v>
      </c>
      <c r="AI39" s="14">
        <f t="shared" si="21"/>
        <v>10</v>
      </c>
      <c r="AJ39" s="14"/>
      <c r="AK39" s="14"/>
      <c r="AL39" s="7"/>
      <c r="AN39" s="14">
        <f t="shared" si="24"/>
        <v>3.06287113727155E-17</v>
      </c>
      <c r="AO39" s="14">
        <f t="shared" si="25"/>
        <v>0.5</v>
      </c>
      <c r="AP39" s="14">
        <f t="shared" si="26"/>
        <v>0.5</v>
      </c>
      <c r="AQ39" s="8">
        <f t="shared" si="7"/>
        <v>9.8225</v>
      </c>
      <c r="AR39" s="8">
        <f t="shared" si="27"/>
        <v>9.81</v>
      </c>
      <c r="AS39" s="8">
        <f t="shared" si="28"/>
        <v>0.0125</v>
      </c>
      <c r="AT39" s="14">
        <f t="shared" si="8"/>
        <v>0</v>
      </c>
      <c r="AU39" s="26">
        <f t="shared" si="22"/>
        <v>0</v>
      </c>
      <c r="AV39" s="26">
        <f t="shared" si="30"/>
        <v>0</v>
      </c>
      <c r="AW39" s="26">
        <f t="shared" si="9"/>
        <v>0</v>
      </c>
      <c r="AX39" s="26">
        <f t="shared" si="29"/>
        <v>0</v>
      </c>
      <c r="AY39" s="26">
        <f t="shared" si="10"/>
        <v>-7.112366251504909E-16</v>
      </c>
    </row>
    <row r="40" spans="22:51" ht="15.75">
      <c r="V40" s="16">
        <v>15</v>
      </c>
      <c r="W40" s="16">
        <f t="shared" si="5"/>
        <v>15</v>
      </c>
      <c r="X40" s="13">
        <f t="shared" si="6"/>
        <v>0</v>
      </c>
      <c r="Y40" s="14">
        <f t="shared" si="11"/>
        <v>0</v>
      </c>
      <c r="Z40" s="14">
        <f t="shared" si="12"/>
        <v>-9.81</v>
      </c>
      <c r="AA40" s="14">
        <f t="shared" si="13"/>
        <v>3.06287113727155E-17</v>
      </c>
      <c r="AB40" s="14">
        <f t="shared" si="14"/>
        <v>0.5</v>
      </c>
      <c r="AC40" s="14">
        <f t="shared" si="15"/>
        <v>3.06287113727155E-17</v>
      </c>
      <c r="AD40" s="14">
        <f t="shared" si="16"/>
        <v>0.5</v>
      </c>
      <c r="AE40" s="8">
        <f t="shared" si="17"/>
        <v>90</v>
      </c>
      <c r="AF40" s="14">
        <f t="shared" si="18"/>
        <v>0</v>
      </c>
      <c r="AG40" s="14">
        <f t="shared" si="19"/>
        <v>10</v>
      </c>
      <c r="AH40" s="25">
        <f t="shared" si="20"/>
        <v>0</v>
      </c>
      <c r="AI40" s="14">
        <f t="shared" si="21"/>
        <v>10</v>
      </c>
      <c r="AJ40" s="14"/>
      <c r="AK40" s="14"/>
      <c r="AL40" s="7"/>
      <c r="AN40" s="14">
        <f t="shared" si="24"/>
        <v>3.06287113727155E-17</v>
      </c>
      <c r="AO40" s="14">
        <f t="shared" si="25"/>
        <v>0.5</v>
      </c>
      <c r="AP40" s="14">
        <f t="shared" si="26"/>
        <v>0.5</v>
      </c>
      <c r="AQ40" s="8">
        <f t="shared" si="7"/>
        <v>9.8225</v>
      </c>
      <c r="AR40" s="8">
        <f t="shared" si="27"/>
        <v>9.81</v>
      </c>
      <c r="AS40" s="8">
        <f t="shared" si="28"/>
        <v>0.0125</v>
      </c>
      <c r="AT40" s="14">
        <f t="shared" si="8"/>
        <v>0</v>
      </c>
      <c r="AU40" s="26">
        <f t="shared" si="22"/>
        <v>0</v>
      </c>
      <c r="AV40" s="26">
        <f t="shared" si="30"/>
        <v>0</v>
      </c>
      <c r="AW40" s="26">
        <f t="shared" si="9"/>
        <v>0</v>
      </c>
      <c r="AX40" s="26">
        <f t="shared" si="29"/>
        <v>0</v>
      </c>
      <c r="AY40" s="26">
        <f t="shared" si="10"/>
        <v>-7.112366251504909E-16</v>
      </c>
    </row>
    <row r="41" spans="22:51" ht="15.75">
      <c r="V41" s="7">
        <v>16</v>
      </c>
      <c r="W41" s="16">
        <f t="shared" si="5"/>
        <v>16</v>
      </c>
      <c r="X41" s="13">
        <f t="shared" si="6"/>
        <v>0</v>
      </c>
      <c r="Y41" s="14">
        <f t="shared" si="11"/>
        <v>0</v>
      </c>
      <c r="Z41" s="14">
        <f t="shared" si="12"/>
        <v>-9.81</v>
      </c>
      <c r="AA41" s="14">
        <f t="shared" si="13"/>
        <v>3.06287113727155E-17</v>
      </c>
      <c r="AB41" s="14">
        <f t="shared" si="14"/>
        <v>0.5</v>
      </c>
      <c r="AC41" s="14">
        <f t="shared" si="15"/>
        <v>3.06287113727155E-17</v>
      </c>
      <c r="AD41" s="14">
        <f t="shared" si="16"/>
        <v>0.5</v>
      </c>
      <c r="AE41" s="8">
        <f t="shared" si="17"/>
        <v>90</v>
      </c>
      <c r="AF41" s="14">
        <f t="shared" si="18"/>
        <v>0</v>
      </c>
      <c r="AG41" s="14">
        <f t="shared" si="19"/>
        <v>10</v>
      </c>
      <c r="AH41" s="25">
        <f t="shared" si="20"/>
        <v>0</v>
      </c>
      <c r="AI41" s="14">
        <f t="shared" si="21"/>
        <v>10</v>
      </c>
      <c r="AJ41" s="14"/>
      <c r="AK41" s="14"/>
      <c r="AL41" s="7"/>
      <c r="AN41" s="14">
        <f t="shared" si="24"/>
        <v>3.06287113727155E-17</v>
      </c>
      <c r="AO41" s="14">
        <f t="shared" si="25"/>
        <v>0.5</v>
      </c>
      <c r="AP41" s="14">
        <f t="shared" si="26"/>
        <v>0.5</v>
      </c>
      <c r="AQ41" s="8">
        <f t="shared" si="7"/>
        <v>9.8225</v>
      </c>
      <c r="AR41" s="8">
        <f t="shared" si="27"/>
        <v>9.81</v>
      </c>
      <c r="AS41" s="8">
        <f t="shared" si="28"/>
        <v>0.0125</v>
      </c>
      <c r="AT41" s="14">
        <f t="shared" si="8"/>
        <v>0</v>
      </c>
      <c r="AU41" s="26">
        <f t="shared" si="22"/>
        <v>0</v>
      </c>
      <c r="AV41" s="26">
        <f t="shared" si="30"/>
        <v>0</v>
      </c>
      <c r="AW41" s="26">
        <f t="shared" si="9"/>
        <v>0</v>
      </c>
      <c r="AX41" s="26">
        <f t="shared" si="29"/>
        <v>0</v>
      </c>
      <c r="AY41" s="26">
        <f t="shared" si="10"/>
        <v>-7.112366251504909E-16</v>
      </c>
    </row>
    <row r="42" spans="22:51" ht="15.75">
      <c r="V42" s="16">
        <v>17</v>
      </c>
      <c r="W42" s="16">
        <f t="shared" si="5"/>
        <v>17</v>
      </c>
      <c r="X42" s="13">
        <f t="shared" si="6"/>
        <v>0</v>
      </c>
      <c r="Y42" s="14">
        <f t="shared" si="11"/>
        <v>0</v>
      </c>
      <c r="Z42" s="14">
        <f t="shared" si="12"/>
        <v>-9.81</v>
      </c>
      <c r="AA42" s="14">
        <f t="shared" si="13"/>
        <v>3.06287113727155E-17</v>
      </c>
      <c r="AB42" s="14">
        <f t="shared" si="14"/>
        <v>0.5</v>
      </c>
      <c r="AC42" s="14">
        <f t="shared" si="15"/>
        <v>3.06287113727155E-17</v>
      </c>
      <c r="AD42" s="14">
        <f t="shared" si="16"/>
        <v>0.5</v>
      </c>
      <c r="AE42" s="8">
        <f t="shared" si="17"/>
        <v>90</v>
      </c>
      <c r="AF42" s="14">
        <f t="shared" si="18"/>
        <v>0</v>
      </c>
      <c r="AG42" s="14">
        <f t="shared" si="19"/>
        <v>10</v>
      </c>
      <c r="AH42" s="25">
        <f t="shared" si="20"/>
        <v>0</v>
      </c>
      <c r="AI42" s="14">
        <f t="shared" si="21"/>
        <v>10</v>
      </c>
      <c r="AJ42" s="14"/>
      <c r="AK42" s="14"/>
      <c r="AL42" s="7"/>
      <c r="AN42" s="14">
        <f t="shared" si="24"/>
        <v>3.06287113727155E-17</v>
      </c>
      <c r="AO42" s="14">
        <f t="shared" si="25"/>
        <v>0.5</v>
      </c>
      <c r="AP42" s="14">
        <f t="shared" si="26"/>
        <v>0.5</v>
      </c>
      <c r="AQ42" s="8">
        <f t="shared" si="7"/>
        <v>9.8225</v>
      </c>
      <c r="AR42" s="8">
        <f t="shared" si="27"/>
        <v>9.81</v>
      </c>
      <c r="AS42" s="8">
        <f t="shared" si="28"/>
        <v>0.0125</v>
      </c>
      <c r="AT42" s="14">
        <f t="shared" si="8"/>
        <v>0</v>
      </c>
      <c r="AU42" s="26">
        <f t="shared" si="22"/>
        <v>0</v>
      </c>
      <c r="AV42" s="26">
        <f t="shared" si="30"/>
        <v>0</v>
      </c>
      <c r="AW42" s="26">
        <f t="shared" si="9"/>
        <v>0</v>
      </c>
      <c r="AX42" s="26">
        <f t="shared" si="29"/>
        <v>0</v>
      </c>
      <c r="AY42" s="26">
        <f t="shared" si="10"/>
        <v>-7.112366251504909E-16</v>
      </c>
    </row>
    <row r="43" spans="22:51" ht="15.75">
      <c r="V43" s="16">
        <v>18</v>
      </c>
      <c r="W43" s="16">
        <f t="shared" si="5"/>
        <v>18</v>
      </c>
      <c r="X43" s="13">
        <f t="shared" si="6"/>
        <v>0</v>
      </c>
      <c r="Y43" s="14">
        <f t="shared" si="11"/>
        <v>0</v>
      </c>
      <c r="Z43" s="14">
        <f t="shared" si="12"/>
        <v>-9.81</v>
      </c>
      <c r="AA43" s="14">
        <f t="shared" si="13"/>
        <v>3.06287113727155E-17</v>
      </c>
      <c r="AB43" s="14">
        <f t="shared" si="14"/>
        <v>0.5</v>
      </c>
      <c r="AC43" s="14">
        <f t="shared" si="15"/>
        <v>3.06287113727155E-17</v>
      </c>
      <c r="AD43" s="14">
        <f t="shared" si="16"/>
        <v>0.5</v>
      </c>
      <c r="AE43" s="8">
        <f t="shared" si="17"/>
        <v>90</v>
      </c>
      <c r="AF43" s="14">
        <f t="shared" si="18"/>
        <v>0</v>
      </c>
      <c r="AG43" s="14">
        <f t="shared" si="19"/>
        <v>10</v>
      </c>
      <c r="AH43" s="25">
        <f t="shared" si="20"/>
        <v>0</v>
      </c>
      <c r="AI43" s="14">
        <f t="shared" si="21"/>
        <v>10</v>
      </c>
      <c r="AJ43" s="14"/>
      <c r="AK43" s="14"/>
      <c r="AL43" s="7"/>
      <c r="AN43" s="14">
        <f t="shared" si="24"/>
        <v>3.06287113727155E-17</v>
      </c>
      <c r="AO43" s="14">
        <f t="shared" si="25"/>
        <v>0.5</v>
      </c>
      <c r="AP43" s="14">
        <f t="shared" si="26"/>
        <v>0.5</v>
      </c>
      <c r="AQ43" s="8">
        <f t="shared" si="7"/>
        <v>9.8225</v>
      </c>
      <c r="AR43" s="8">
        <f t="shared" si="27"/>
        <v>9.81</v>
      </c>
      <c r="AS43" s="8">
        <f t="shared" si="28"/>
        <v>0.0125</v>
      </c>
      <c r="AT43" s="14">
        <f t="shared" si="8"/>
        <v>0</v>
      </c>
      <c r="AU43" s="26">
        <f t="shared" si="22"/>
        <v>0</v>
      </c>
      <c r="AV43" s="26">
        <f t="shared" si="30"/>
        <v>0</v>
      </c>
      <c r="AW43" s="26">
        <f t="shared" si="9"/>
        <v>0</v>
      </c>
      <c r="AX43" s="26">
        <f t="shared" si="29"/>
        <v>0</v>
      </c>
      <c r="AY43" s="26">
        <f t="shared" si="10"/>
        <v>-7.112366251504909E-16</v>
      </c>
    </row>
    <row r="44" spans="22:51" ht="15.75">
      <c r="V44" s="7">
        <v>19</v>
      </c>
      <c r="W44" s="16">
        <f t="shared" si="5"/>
        <v>19</v>
      </c>
      <c r="X44" s="13">
        <f t="shared" si="6"/>
        <v>0</v>
      </c>
      <c r="Y44" s="14">
        <f t="shared" si="11"/>
        <v>0</v>
      </c>
      <c r="Z44" s="14">
        <f t="shared" si="12"/>
        <v>-9.81</v>
      </c>
      <c r="AA44" s="14">
        <f t="shared" si="13"/>
        <v>3.06287113727155E-17</v>
      </c>
      <c r="AB44" s="14">
        <f t="shared" si="14"/>
        <v>0.5</v>
      </c>
      <c r="AC44" s="14">
        <f t="shared" si="15"/>
        <v>3.06287113727155E-17</v>
      </c>
      <c r="AD44" s="14">
        <f t="shared" si="16"/>
        <v>0.5</v>
      </c>
      <c r="AE44" s="8">
        <f t="shared" si="17"/>
        <v>90</v>
      </c>
      <c r="AF44" s="14">
        <f t="shared" si="18"/>
        <v>0</v>
      </c>
      <c r="AG44" s="14">
        <f t="shared" si="19"/>
        <v>10</v>
      </c>
      <c r="AH44" s="25">
        <f t="shared" si="20"/>
        <v>0</v>
      </c>
      <c r="AI44" s="14">
        <f t="shared" si="21"/>
        <v>10</v>
      </c>
      <c r="AJ44" s="14"/>
      <c r="AK44" s="14"/>
      <c r="AL44" s="7"/>
      <c r="AN44" s="14">
        <f t="shared" si="24"/>
        <v>3.06287113727155E-17</v>
      </c>
      <c r="AO44" s="14">
        <f t="shared" si="25"/>
        <v>0.5</v>
      </c>
      <c r="AP44" s="14">
        <f t="shared" si="26"/>
        <v>0.5</v>
      </c>
      <c r="AQ44" s="8">
        <f t="shared" si="7"/>
        <v>9.8225</v>
      </c>
      <c r="AR44" s="8">
        <f t="shared" si="27"/>
        <v>9.81</v>
      </c>
      <c r="AS44" s="8">
        <f t="shared" si="28"/>
        <v>0.0125</v>
      </c>
      <c r="AT44" s="14">
        <f t="shared" si="8"/>
        <v>0</v>
      </c>
      <c r="AU44" s="26">
        <f t="shared" si="22"/>
        <v>0</v>
      </c>
      <c r="AV44" s="26">
        <f t="shared" si="30"/>
        <v>0</v>
      </c>
      <c r="AW44" s="26">
        <f t="shared" si="9"/>
        <v>0</v>
      </c>
      <c r="AX44" s="26">
        <f t="shared" si="29"/>
        <v>0</v>
      </c>
      <c r="AY44" s="26">
        <f t="shared" si="10"/>
        <v>-7.112366251504909E-16</v>
      </c>
    </row>
    <row r="45" spans="22:51" ht="15.75">
      <c r="V45" s="16">
        <v>20</v>
      </c>
      <c r="W45" s="16">
        <f t="shared" si="5"/>
        <v>20</v>
      </c>
      <c r="X45" s="13">
        <f t="shared" si="6"/>
        <v>0</v>
      </c>
      <c r="Y45" s="14">
        <f t="shared" si="11"/>
        <v>0</v>
      </c>
      <c r="Z45" s="14">
        <f t="shared" si="12"/>
        <v>-9.81</v>
      </c>
      <c r="AA45" s="14">
        <f t="shared" si="13"/>
        <v>3.06287113727155E-17</v>
      </c>
      <c r="AB45" s="14">
        <f t="shared" si="14"/>
        <v>0.5</v>
      </c>
      <c r="AC45" s="14">
        <f t="shared" si="15"/>
        <v>3.06287113727155E-17</v>
      </c>
      <c r="AD45" s="14">
        <f t="shared" si="16"/>
        <v>0.5</v>
      </c>
      <c r="AE45" s="8">
        <f t="shared" si="17"/>
        <v>90</v>
      </c>
      <c r="AF45" s="14">
        <f t="shared" si="18"/>
        <v>0</v>
      </c>
      <c r="AG45" s="14">
        <f t="shared" si="19"/>
        <v>10</v>
      </c>
      <c r="AH45" s="25">
        <f t="shared" si="20"/>
        <v>0</v>
      </c>
      <c r="AI45" s="14">
        <f t="shared" si="21"/>
        <v>10</v>
      </c>
      <c r="AJ45" s="14"/>
      <c r="AK45" s="14"/>
      <c r="AL45" s="7"/>
      <c r="AN45" s="14">
        <f t="shared" si="24"/>
        <v>3.06287113727155E-17</v>
      </c>
      <c r="AO45" s="14">
        <f t="shared" si="25"/>
        <v>0.5</v>
      </c>
      <c r="AP45" s="14">
        <f t="shared" si="26"/>
        <v>0.5</v>
      </c>
      <c r="AQ45" s="8">
        <f t="shared" si="7"/>
        <v>9.8225</v>
      </c>
      <c r="AR45" s="8">
        <f t="shared" si="27"/>
        <v>9.81</v>
      </c>
      <c r="AS45" s="8">
        <f t="shared" si="28"/>
        <v>0.0125</v>
      </c>
      <c r="AT45" s="14">
        <f t="shared" si="8"/>
        <v>0</v>
      </c>
      <c r="AU45" s="26">
        <f t="shared" si="22"/>
        <v>0</v>
      </c>
      <c r="AV45" s="26">
        <f t="shared" si="30"/>
        <v>0</v>
      </c>
      <c r="AW45" s="26">
        <f t="shared" si="9"/>
        <v>0</v>
      </c>
      <c r="AX45" s="26">
        <f t="shared" si="29"/>
        <v>0</v>
      </c>
      <c r="AY45" s="26">
        <f t="shared" si="10"/>
        <v>-7.112366251504909E-16</v>
      </c>
    </row>
    <row r="46" spans="22:51" ht="15.75">
      <c r="V46" s="16">
        <v>21</v>
      </c>
      <c r="W46" s="16">
        <f t="shared" si="5"/>
        <v>21</v>
      </c>
      <c r="X46" s="13">
        <f t="shared" si="6"/>
        <v>0</v>
      </c>
      <c r="Y46" s="14">
        <f t="shared" si="11"/>
        <v>0</v>
      </c>
      <c r="Z46" s="14">
        <f t="shared" si="12"/>
        <v>-9.81</v>
      </c>
      <c r="AA46" s="14">
        <f t="shared" si="13"/>
        <v>3.06287113727155E-17</v>
      </c>
      <c r="AB46" s="14">
        <f t="shared" si="14"/>
        <v>0.5</v>
      </c>
      <c r="AC46" s="14">
        <f t="shared" si="15"/>
        <v>3.06287113727155E-17</v>
      </c>
      <c r="AD46" s="14">
        <f t="shared" si="16"/>
        <v>0.5</v>
      </c>
      <c r="AE46" s="8">
        <f t="shared" si="17"/>
        <v>90</v>
      </c>
      <c r="AF46" s="14">
        <f t="shared" si="18"/>
        <v>0</v>
      </c>
      <c r="AG46" s="14">
        <f t="shared" si="19"/>
        <v>10</v>
      </c>
      <c r="AH46" s="25">
        <f t="shared" si="20"/>
        <v>0</v>
      </c>
      <c r="AI46" s="14">
        <f t="shared" si="21"/>
        <v>10</v>
      </c>
      <c r="AJ46" s="14"/>
      <c r="AK46" s="14"/>
      <c r="AL46" s="7"/>
      <c r="AN46" s="14">
        <f t="shared" si="24"/>
        <v>3.06287113727155E-17</v>
      </c>
      <c r="AO46" s="14">
        <f t="shared" si="25"/>
        <v>0.5</v>
      </c>
      <c r="AP46" s="14">
        <f t="shared" si="26"/>
        <v>0.5</v>
      </c>
      <c r="AQ46" s="8">
        <f t="shared" si="7"/>
        <v>9.8225</v>
      </c>
      <c r="AR46" s="8">
        <f t="shared" si="27"/>
        <v>9.81</v>
      </c>
      <c r="AS46" s="8">
        <f t="shared" si="28"/>
        <v>0.0125</v>
      </c>
      <c r="AT46" s="14">
        <f t="shared" si="8"/>
        <v>0</v>
      </c>
      <c r="AU46" s="26">
        <f t="shared" si="22"/>
        <v>0</v>
      </c>
      <c r="AV46" s="26">
        <f t="shared" si="30"/>
        <v>0</v>
      </c>
      <c r="AW46" s="26">
        <f t="shared" si="9"/>
        <v>0</v>
      </c>
      <c r="AX46" s="26">
        <f t="shared" si="29"/>
        <v>0</v>
      </c>
      <c r="AY46" s="26">
        <f t="shared" si="10"/>
        <v>-7.112366251504909E-16</v>
      </c>
    </row>
    <row r="47" spans="22:51" ht="15.75">
      <c r="V47" s="16">
        <v>22</v>
      </c>
      <c r="W47" s="16">
        <f t="shared" si="5"/>
        <v>22</v>
      </c>
      <c r="X47" s="13">
        <f t="shared" si="6"/>
        <v>0</v>
      </c>
      <c r="Y47" s="14">
        <f t="shared" si="11"/>
        <v>0</v>
      </c>
      <c r="Z47" s="14">
        <f t="shared" si="12"/>
        <v>-9.81</v>
      </c>
      <c r="AA47" s="14">
        <f t="shared" si="13"/>
        <v>3.06287113727155E-17</v>
      </c>
      <c r="AB47" s="14">
        <f t="shared" si="14"/>
        <v>0.5</v>
      </c>
      <c r="AC47" s="14">
        <f t="shared" si="15"/>
        <v>3.06287113727155E-17</v>
      </c>
      <c r="AD47" s="14">
        <f t="shared" si="16"/>
        <v>0.5</v>
      </c>
      <c r="AE47" s="8">
        <f t="shared" si="17"/>
        <v>90</v>
      </c>
      <c r="AF47" s="14">
        <f t="shared" si="18"/>
        <v>0</v>
      </c>
      <c r="AG47" s="14">
        <f t="shared" si="19"/>
        <v>10</v>
      </c>
      <c r="AH47" s="25">
        <f t="shared" si="20"/>
        <v>0</v>
      </c>
      <c r="AI47" s="14">
        <f t="shared" si="21"/>
        <v>10</v>
      </c>
      <c r="AJ47" s="14"/>
      <c r="AK47" s="14"/>
      <c r="AL47" s="7"/>
      <c r="AN47" s="14">
        <f t="shared" si="24"/>
        <v>3.06287113727155E-17</v>
      </c>
      <c r="AO47" s="14">
        <f t="shared" si="25"/>
        <v>0.5</v>
      </c>
      <c r="AP47" s="14">
        <f t="shared" si="26"/>
        <v>0.5</v>
      </c>
      <c r="AQ47" s="8">
        <f t="shared" si="7"/>
        <v>9.8225</v>
      </c>
      <c r="AR47" s="8">
        <f t="shared" si="27"/>
        <v>9.81</v>
      </c>
      <c r="AS47" s="8">
        <f t="shared" si="28"/>
        <v>0.0125</v>
      </c>
      <c r="AT47" s="14">
        <f t="shared" si="8"/>
        <v>0</v>
      </c>
      <c r="AU47" s="26">
        <f t="shared" si="22"/>
        <v>0</v>
      </c>
      <c r="AV47" s="26">
        <f t="shared" si="30"/>
        <v>0</v>
      </c>
      <c r="AW47" s="26">
        <f t="shared" si="9"/>
        <v>0</v>
      </c>
      <c r="AX47" s="26">
        <f t="shared" si="29"/>
        <v>0</v>
      </c>
      <c r="AY47" s="26">
        <f t="shared" si="10"/>
        <v>-7.112366251504909E-16</v>
      </c>
    </row>
    <row r="48" spans="22:51" ht="15.75">
      <c r="V48" s="7">
        <v>23</v>
      </c>
      <c r="W48" s="16">
        <f t="shared" si="5"/>
        <v>23</v>
      </c>
      <c r="X48" s="13">
        <f t="shared" si="6"/>
        <v>0</v>
      </c>
      <c r="Y48" s="14">
        <f t="shared" si="11"/>
        <v>0</v>
      </c>
      <c r="Z48" s="14">
        <f t="shared" si="12"/>
        <v>-9.81</v>
      </c>
      <c r="AA48" s="14">
        <f t="shared" si="13"/>
        <v>3.06287113727155E-17</v>
      </c>
      <c r="AB48" s="14">
        <f t="shared" si="14"/>
        <v>0.5</v>
      </c>
      <c r="AC48" s="14">
        <f t="shared" si="15"/>
        <v>3.06287113727155E-17</v>
      </c>
      <c r="AD48" s="14">
        <f t="shared" si="16"/>
        <v>0.5</v>
      </c>
      <c r="AE48" s="8">
        <f t="shared" si="17"/>
        <v>90</v>
      </c>
      <c r="AF48" s="14">
        <f t="shared" si="18"/>
        <v>0</v>
      </c>
      <c r="AG48" s="14">
        <f t="shared" si="19"/>
        <v>10</v>
      </c>
      <c r="AH48" s="25">
        <f t="shared" si="20"/>
        <v>0</v>
      </c>
      <c r="AI48" s="14">
        <f t="shared" si="21"/>
        <v>10</v>
      </c>
      <c r="AJ48" s="14"/>
      <c r="AK48" s="14"/>
      <c r="AL48" s="7"/>
      <c r="AN48" s="14">
        <f t="shared" si="24"/>
        <v>3.06287113727155E-17</v>
      </c>
      <c r="AO48" s="14">
        <f t="shared" si="25"/>
        <v>0.5</v>
      </c>
      <c r="AP48" s="14">
        <f t="shared" si="26"/>
        <v>0.5</v>
      </c>
      <c r="AQ48" s="8">
        <f t="shared" si="7"/>
        <v>9.8225</v>
      </c>
      <c r="AR48" s="8">
        <f t="shared" si="27"/>
        <v>9.81</v>
      </c>
      <c r="AS48" s="8">
        <f t="shared" si="28"/>
        <v>0.0125</v>
      </c>
      <c r="AT48" s="14">
        <f t="shared" si="8"/>
        <v>0</v>
      </c>
      <c r="AU48" s="26">
        <f t="shared" si="22"/>
        <v>0</v>
      </c>
      <c r="AV48" s="26">
        <f t="shared" si="30"/>
        <v>0</v>
      </c>
      <c r="AW48" s="26">
        <f t="shared" si="9"/>
        <v>0</v>
      </c>
      <c r="AX48" s="26">
        <f t="shared" si="29"/>
        <v>0</v>
      </c>
      <c r="AY48" s="26">
        <f t="shared" si="10"/>
        <v>-7.112366251504909E-16</v>
      </c>
    </row>
    <row r="49" spans="22:51" ht="15.75">
      <c r="V49" s="16">
        <v>24</v>
      </c>
      <c r="W49" s="16">
        <f t="shared" si="5"/>
        <v>24</v>
      </c>
      <c r="X49" s="13">
        <f t="shared" si="6"/>
        <v>0</v>
      </c>
      <c r="Y49" s="14">
        <f t="shared" si="11"/>
        <v>0</v>
      </c>
      <c r="Z49" s="14">
        <f t="shared" si="12"/>
        <v>-9.81</v>
      </c>
      <c r="AA49" s="14">
        <f t="shared" si="13"/>
        <v>3.06287113727155E-17</v>
      </c>
      <c r="AB49" s="14">
        <f t="shared" si="14"/>
        <v>0.5</v>
      </c>
      <c r="AC49" s="14">
        <f t="shared" si="15"/>
        <v>3.06287113727155E-17</v>
      </c>
      <c r="AD49" s="14">
        <f t="shared" si="16"/>
        <v>0.5</v>
      </c>
      <c r="AE49" s="8">
        <f t="shared" si="17"/>
        <v>90</v>
      </c>
      <c r="AF49" s="14">
        <f t="shared" si="18"/>
        <v>0</v>
      </c>
      <c r="AG49" s="14">
        <f t="shared" si="19"/>
        <v>10</v>
      </c>
      <c r="AH49" s="25">
        <f t="shared" si="20"/>
        <v>0</v>
      </c>
      <c r="AI49" s="14">
        <f t="shared" si="21"/>
        <v>10</v>
      </c>
      <c r="AJ49" s="14"/>
      <c r="AK49" s="14"/>
      <c r="AL49" s="7"/>
      <c r="AN49" s="14">
        <f t="shared" si="24"/>
        <v>3.06287113727155E-17</v>
      </c>
      <c r="AO49" s="14">
        <f t="shared" si="25"/>
        <v>0.5</v>
      </c>
      <c r="AP49" s="14">
        <f t="shared" si="26"/>
        <v>0.5</v>
      </c>
      <c r="AQ49" s="8">
        <f t="shared" si="7"/>
        <v>9.8225</v>
      </c>
      <c r="AR49" s="8">
        <f t="shared" si="27"/>
        <v>9.81</v>
      </c>
      <c r="AS49" s="8">
        <f t="shared" si="28"/>
        <v>0.0125</v>
      </c>
      <c r="AT49" s="14">
        <f t="shared" si="8"/>
        <v>0</v>
      </c>
      <c r="AU49" s="26">
        <f t="shared" si="22"/>
        <v>0</v>
      </c>
      <c r="AV49" s="26">
        <f t="shared" si="30"/>
        <v>0</v>
      </c>
      <c r="AW49" s="26">
        <f t="shared" si="9"/>
        <v>0</v>
      </c>
      <c r="AX49" s="26">
        <f t="shared" si="29"/>
        <v>0</v>
      </c>
      <c r="AY49" s="26">
        <f t="shared" si="10"/>
        <v>-7.112366251504909E-16</v>
      </c>
    </row>
    <row r="50" spans="22:51" ht="15.75">
      <c r="V50" s="16">
        <v>25</v>
      </c>
      <c r="W50" s="16">
        <f t="shared" si="5"/>
        <v>25</v>
      </c>
      <c r="X50" s="13">
        <f t="shared" si="6"/>
        <v>0</v>
      </c>
      <c r="Y50" s="14">
        <f t="shared" si="11"/>
        <v>0</v>
      </c>
      <c r="Z50" s="14">
        <f t="shared" si="12"/>
        <v>-9.81</v>
      </c>
      <c r="AA50" s="14">
        <f t="shared" si="13"/>
        <v>3.06287113727155E-17</v>
      </c>
      <c r="AB50" s="14">
        <f t="shared" si="14"/>
        <v>0.5</v>
      </c>
      <c r="AC50" s="14">
        <f t="shared" si="15"/>
        <v>3.06287113727155E-17</v>
      </c>
      <c r="AD50" s="14">
        <f t="shared" si="16"/>
        <v>0.5</v>
      </c>
      <c r="AE50" s="8">
        <f t="shared" si="17"/>
        <v>90</v>
      </c>
      <c r="AF50" s="14">
        <f t="shared" si="18"/>
        <v>0</v>
      </c>
      <c r="AG50" s="14">
        <f t="shared" si="19"/>
        <v>10</v>
      </c>
      <c r="AH50" s="25">
        <f t="shared" si="20"/>
        <v>0</v>
      </c>
      <c r="AI50" s="14">
        <f t="shared" si="21"/>
        <v>10</v>
      </c>
      <c r="AJ50" s="14"/>
      <c r="AK50" s="14"/>
      <c r="AL50" s="7"/>
      <c r="AN50" s="14">
        <f t="shared" si="24"/>
        <v>3.06287113727155E-17</v>
      </c>
      <c r="AO50" s="14">
        <f t="shared" si="25"/>
        <v>0.5</v>
      </c>
      <c r="AP50" s="14">
        <f t="shared" si="26"/>
        <v>0.5</v>
      </c>
      <c r="AQ50" s="8">
        <f t="shared" si="7"/>
        <v>9.8225</v>
      </c>
      <c r="AR50" s="8">
        <f t="shared" si="27"/>
        <v>9.81</v>
      </c>
      <c r="AS50" s="8">
        <f t="shared" si="28"/>
        <v>0.0125</v>
      </c>
      <c r="AT50" s="14">
        <f t="shared" si="8"/>
        <v>0</v>
      </c>
      <c r="AU50" s="26">
        <f t="shared" si="22"/>
        <v>0</v>
      </c>
      <c r="AV50" s="26">
        <f t="shared" si="30"/>
        <v>0</v>
      </c>
      <c r="AW50" s="26">
        <f t="shared" si="9"/>
        <v>0</v>
      </c>
      <c r="AX50" s="26">
        <f t="shared" si="29"/>
        <v>0</v>
      </c>
      <c r="AY50" s="26">
        <f t="shared" si="10"/>
        <v>-7.112366251504909E-16</v>
      </c>
    </row>
    <row r="51" spans="22:51" ht="15.75">
      <c r="V51" s="16">
        <v>26</v>
      </c>
      <c r="W51" s="16">
        <f t="shared" si="5"/>
        <v>26</v>
      </c>
      <c r="X51" s="13">
        <f t="shared" si="6"/>
        <v>0</v>
      </c>
      <c r="Y51" s="14">
        <f t="shared" si="11"/>
        <v>0</v>
      </c>
      <c r="Z51" s="14">
        <f t="shared" si="12"/>
        <v>-9.81</v>
      </c>
      <c r="AA51" s="14">
        <f t="shared" si="13"/>
        <v>3.06287113727155E-17</v>
      </c>
      <c r="AB51" s="14">
        <f t="shared" si="14"/>
        <v>0.5</v>
      </c>
      <c r="AC51" s="14">
        <f t="shared" si="15"/>
        <v>3.06287113727155E-17</v>
      </c>
      <c r="AD51" s="14">
        <f t="shared" si="16"/>
        <v>0.5</v>
      </c>
      <c r="AE51" s="8">
        <f t="shared" si="17"/>
        <v>90</v>
      </c>
      <c r="AF51" s="14">
        <f t="shared" si="18"/>
        <v>0</v>
      </c>
      <c r="AG51" s="14">
        <f t="shared" si="19"/>
        <v>10</v>
      </c>
      <c r="AH51" s="25">
        <f>IF(AND(AB51&lt;0,AG51&lt;$N$3),AH50,AF51)</f>
        <v>0</v>
      </c>
      <c r="AI51" s="14">
        <f>IF(AND(AB51&lt;0,AG51&lt;$N$3),$N$3,AG51)</f>
        <v>10</v>
      </c>
      <c r="AJ51" s="14"/>
      <c r="AK51" s="14"/>
      <c r="AL51" s="7"/>
      <c r="AN51" s="14">
        <f t="shared" si="24"/>
        <v>3.06287113727155E-17</v>
      </c>
      <c r="AO51" s="14">
        <f t="shared" si="25"/>
        <v>0.5</v>
      </c>
      <c r="AP51" s="14">
        <f t="shared" si="26"/>
        <v>0.5</v>
      </c>
      <c r="AQ51" s="8">
        <f t="shared" si="7"/>
        <v>9.8225</v>
      </c>
      <c r="AR51" s="8">
        <f t="shared" si="27"/>
        <v>9.81</v>
      </c>
      <c r="AS51" s="8">
        <f t="shared" si="28"/>
        <v>0.0125</v>
      </c>
      <c r="AT51" s="14">
        <f t="shared" si="8"/>
        <v>0</v>
      </c>
      <c r="AU51" s="26">
        <f t="shared" si="22"/>
        <v>0</v>
      </c>
      <c r="AV51" s="26">
        <f t="shared" si="30"/>
        <v>0</v>
      </c>
      <c r="AW51" s="26">
        <f t="shared" si="9"/>
        <v>0</v>
      </c>
      <c r="AX51" s="26">
        <f t="shared" si="29"/>
        <v>0</v>
      </c>
      <c r="AY51" s="26">
        <f t="shared" si="10"/>
        <v>-7.112366251504909E-16</v>
      </c>
    </row>
    <row r="52" spans="22:51" ht="15.75">
      <c r="V52" s="7">
        <v>27</v>
      </c>
      <c r="W52" s="16">
        <f t="shared" si="5"/>
        <v>27</v>
      </c>
      <c r="X52" s="13">
        <f t="shared" si="6"/>
        <v>0</v>
      </c>
      <c r="Y52" s="14">
        <f t="shared" si="11"/>
        <v>0</v>
      </c>
      <c r="Z52" s="14">
        <f t="shared" si="12"/>
        <v>-9.81</v>
      </c>
      <c r="AA52" s="14">
        <f t="shared" si="13"/>
        <v>3.06287113727155E-17</v>
      </c>
      <c r="AB52" s="14">
        <f t="shared" si="14"/>
        <v>0.5</v>
      </c>
      <c r="AC52" s="14">
        <f t="shared" si="15"/>
        <v>3.06287113727155E-17</v>
      </c>
      <c r="AD52" s="14">
        <f t="shared" si="16"/>
        <v>0.5</v>
      </c>
      <c r="AE52" s="8">
        <f t="shared" si="17"/>
        <v>90</v>
      </c>
      <c r="AF52" s="14">
        <f t="shared" si="18"/>
        <v>0</v>
      </c>
      <c r="AG52" s="14">
        <f t="shared" si="19"/>
        <v>10</v>
      </c>
      <c r="AH52" s="25">
        <f aca="true" t="shared" si="31" ref="AH52:AH80">IF(AND(AB52&lt;0,AG52&lt;$N$3),AH51,AF52)</f>
        <v>0</v>
      </c>
      <c r="AI52" s="14">
        <f aca="true" t="shared" si="32" ref="AI52:AI80">IF(AND(AB52&lt;0,AG52&lt;$N$3),$N$3,AG52)</f>
        <v>10</v>
      </c>
      <c r="AJ52" s="14"/>
      <c r="AK52" s="14"/>
      <c r="AL52" s="7"/>
      <c r="AN52" s="14">
        <f t="shared" si="24"/>
        <v>3.06287113727155E-17</v>
      </c>
      <c r="AO52" s="14">
        <f t="shared" si="25"/>
        <v>0.5</v>
      </c>
      <c r="AP52" s="14">
        <f t="shared" si="26"/>
        <v>0.5</v>
      </c>
      <c r="AQ52" s="8">
        <f t="shared" si="7"/>
        <v>9.8225</v>
      </c>
      <c r="AR52" s="8">
        <f t="shared" si="27"/>
        <v>9.81</v>
      </c>
      <c r="AS52" s="8">
        <f t="shared" si="28"/>
        <v>0.0125</v>
      </c>
      <c r="AT52" s="14">
        <f t="shared" si="8"/>
        <v>0</v>
      </c>
      <c r="AU52" s="26">
        <f t="shared" si="22"/>
        <v>0</v>
      </c>
      <c r="AV52" s="26">
        <f t="shared" si="30"/>
        <v>0</v>
      </c>
      <c r="AW52" s="26">
        <f t="shared" si="9"/>
        <v>0</v>
      </c>
      <c r="AX52" s="26">
        <f t="shared" si="29"/>
        <v>0</v>
      </c>
      <c r="AY52" s="26">
        <f t="shared" si="10"/>
        <v>-7.112366251504909E-16</v>
      </c>
    </row>
    <row r="53" spans="22:51" ht="15.75">
      <c r="V53" s="16">
        <v>28</v>
      </c>
      <c r="W53" s="16">
        <f t="shared" si="5"/>
        <v>28</v>
      </c>
      <c r="X53" s="13">
        <f t="shared" si="6"/>
        <v>0</v>
      </c>
      <c r="Y53" s="14">
        <f t="shared" si="11"/>
        <v>0</v>
      </c>
      <c r="Z53" s="14">
        <f t="shared" si="12"/>
        <v>-9.81</v>
      </c>
      <c r="AA53" s="14">
        <f t="shared" si="13"/>
        <v>3.06287113727155E-17</v>
      </c>
      <c r="AB53" s="14">
        <f t="shared" si="14"/>
        <v>0.5</v>
      </c>
      <c r="AC53" s="14">
        <f t="shared" si="15"/>
        <v>3.06287113727155E-17</v>
      </c>
      <c r="AD53" s="14">
        <f t="shared" si="16"/>
        <v>0.5</v>
      </c>
      <c r="AE53" s="8">
        <f t="shared" si="17"/>
        <v>90</v>
      </c>
      <c r="AF53" s="14">
        <f t="shared" si="18"/>
        <v>0</v>
      </c>
      <c r="AG53" s="14">
        <f t="shared" si="19"/>
        <v>10</v>
      </c>
      <c r="AH53" s="25">
        <f t="shared" si="31"/>
        <v>0</v>
      </c>
      <c r="AI53" s="14">
        <f t="shared" si="32"/>
        <v>10</v>
      </c>
      <c r="AJ53" s="14"/>
      <c r="AK53" s="14"/>
      <c r="AL53" s="7"/>
      <c r="AN53" s="14">
        <f t="shared" si="24"/>
        <v>3.06287113727155E-17</v>
      </c>
      <c r="AO53" s="14">
        <f t="shared" si="25"/>
        <v>0.5</v>
      </c>
      <c r="AP53" s="14">
        <f t="shared" si="26"/>
        <v>0.5</v>
      </c>
      <c r="AQ53" s="8">
        <f t="shared" si="7"/>
        <v>9.8225</v>
      </c>
      <c r="AR53" s="8">
        <f t="shared" si="27"/>
        <v>9.81</v>
      </c>
      <c r="AS53" s="8">
        <f t="shared" si="28"/>
        <v>0.0125</v>
      </c>
      <c r="AT53" s="14">
        <f t="shared" si="8"/>
        <v>0</v>
      </c>
      <c r="AU53" s="26">
        <f t="shared" si="22"/>
        <v>0</v>
      </c>
      <c r="AV53" s="26">
        <f t="shared" si="30"/>
        <v>0</v>
      </c>
      <c r="AW53" s="26">
        <f t="shared" si="9"/>
        <v>0</v>
      </c>
      <c r="AX53" s="26">
        <f t="shared" si="29"/>
        <v>0</v>
      </c>
      <c r="AY53" s="26">
        <f t="shared" si="10"/>
        <v>-7.112366251504909E-16</v>
      </c>
    </row>
    <row r="54" spans="22:51" ht="15.75">
      <c r="V54" s="16">
        <v>29</v>
      </c>
      <c r="W54" s="16">
        <f t="shared" si="5"/>
        <v>29</v>
      </c>
      <c r="X54" s="13">
        <f t="shared" si="6"/>
        <v>0</v>
      </c>
      <c r="Y54" s="14">
        <f t="shared" si="11"/>
        <v>0</v>
      </c>
      <c r="Z54" s="14">
        <f t="shared" si="12"/>
        <v>-9.81</v>
      </c>
      <c r="AA54" s="14">
        <f t="shared" si="13"/>
        <v>3.06287113727155E-17</v>
      </c>
      <c r="AB54" s="14">
        <f t="shared" si="14"/>
        <v>0.5</v>
      </c>
      <c r="AC54" s="14">
        <f t="shared" si="15"/>
        <v>3.06287113727155E-17</v>
      </c>
      <c r="AD54" s="14">
        <f t="shared" si="16"/>
        <v>0.5</v>
      </c>
      <c r="AE54" s="8">
        <f t="shared" si="17"/>
        <v>90</v>
      </c>
      <c r="AF54" s="14">
        <f t="shared" si="18"/>
        <v>0</v>
      </c>
      <c r="AG54" s="14">
        <f t="shared" si="19"/>
        <v>10</v>
      </c>
      <c r="AH54" s="25">
        <f t="shared" si="31"/>
        <v>0</v>
      </c>
      <c r="AI54" s="14">
        <f t="shared" si="32"/>
        <v>10</v>
      </c>
      <c r="AJ54" s="14"/>
      <c r="AK54" s="14"/>
      <c r="AL54" s="7"/>
      <c r="AN54" s="14">
        <f t="shared" si="24"/>
        <v>3.06287113727155E-17</v>
      </c>
      <c r="AO54" s="14">
        <f t="shared" si="25"/>
        <v>0.5</v>
      </c>
      <c r="AP54" s="14">
        <f t="shared" si="26"/>
        <v>0.5</v>
      </c>
      <c r="AQ54" s="8">
        <f t="shared" si="7"/>
        <v>9.8225</v>
      </c>
      <c r="AR54" s="8">
        <f t="shared" si="27"/>
        <v>9.81</v>
      </c>
      <c r="AS54" s="8">
        <f t="shared" si="28"/>
        <v>0.0125</v>
      </c>
      <c r="AT54" s="14">
        <f t="shared" si="8"/>
        <v>0</v>
      </c>
      <c r="AU54" s="26">
        <f t="shared" si="22"/>
        <v>0</v>
      </c>
      <c r="AV54" s="26">
        <f t="shared" si="30"/>
        <v>0</v>
      </c>
      <c r="AW54" s="26">
        <f t="shared" si="9"/>
        <v>0</v>
      </c>
      <c r="AX54" s="26">
        <f t="shared" si="29"/>
        <v>0</v>
      </c>
      <c r="AY54" s="26">
        <f t="shared" si="10"/>
        <v>-7.112366251504909E-16</v>
      </c>
    </row>
    <row r="55" spans="22:51" ht="15.75">
      <c r="V55" s="16">
        <v>30</v>
      </c>
      <c r="W55" s="16">
        <f t="shared" si="5"/>
        <v>30</v>
      </c>
      <c r="X55" s="13">
        <f t="shared" si="6"/>
        <v>0</v>
      </c>
      <c r="Y55" s="14">
        <f t="shared" si="11"/>
        <v>0</v>
      </c>
      <c r="Z55" s="14">
        <f t="shared" si="12"/>
        <v>-9.81</v>
      </c>
      <c r="AA55" s="14">
        <f t="shared" si="13"/>
        <v>3.06287113727155E-17</v>
      </c>
      <c r="AB55" s="14">
        <f t="shared" si="14"/>
        <v>0.5</v>
      </c>
      <c r="AC55" s="14">
        <f t="shared" si="15"/>
        <v>3.06287113727155E-17</v>
      </c>
      <c r="AD55" s="14">
        <f t="shared" si="16"/>
        <v>0.5</v>
      </c>
      <c r="AE55" s="8">
        <f t="shared" si="17"/>
        <v>90</v>
      </c>
      <c r="AF55" s="14">
        <f t="shared" si="18"/>
        <v>0</v>
      </c>
      <c r="AG55" s="14">
        <f t="shared" si="19"/>
        <v>10</v>
      </c>
      <c r="AH55" s="25">
        <f t="shared" si="31"/>
        <v>0</v>
      </c>
      <c r="AI55" s="14">
        <f t="shared" si="32"/>
        <v>10</v>
      </c>
      <c r="AJ55" s="14"/>
      <c r="AK55" s="14"/>
      <c r="AL55" s="7"/>
      <c r="AN55" s="14">
        <f t="shared" si="24"/>
        <v>3.06287113727155E-17</v>
      </c>
      <c r="AO55" s="14">
        <f t="shared" si="25"/>
        <v>0.5</v>
      </c>
      <c r="AP55" s="14">
        <f t="shared" si="26"/>
        <v>0.5</v>
      </c>
      <c r="AQ55" s="8">
        <f t="shared" si="7"/>
        <v>9.8225</v>
      </c>
      <c r="AR55" s="8">
        <f t="shared" si="27"/>
        <v>9.81</v>
      </c>
      <c r="AS55" s="8">
        <f t="shared" si="28"/>
        <v>0.0125</v>
      </c>
      <c r="AT55" s="14">
        <f t="shared" si="8"/>
        <v>0</v>
      </c>
      <c r="AU55" s="26">
        <f t="shared" si="22"/>
        <v>0</v>
      </c>
      <c r="AV55" s="26">
        <f t="shared" si="30"/>
        <v>0</v>
      </c>
      <c r="AW55" s="26">
        <f t="shared" si="9"/>
        <v>0</v>
      </c>
      <c r="AX55" s="26">
        <f t="shared" si="29"/>
        <v>0</v>
      </c>
      <c r="AY55" s="26">
        <f t="shared" si="10"/>
        <v>-7.112366251504909E-16</v>
      </c>
    </row>
    <row r="56" spans="22:51" ht="15.75">
      <c r="V56" s="7">
        <v>31</v>
      </c>
      <c r="W56" s="16">
        <f t="shared" si="5"/>
        <v>31</v>
      </c>
      <c r="X56" s="13">
        <f t="shared" si="6"/>
        <v>0</v>
      </c>
      <c r="Y56" s="14">
        <f t="shared" si="11"/>
        <v>0</v>
      </c>
      <c r="Z56" s="14">
        <f t="shared" si="12"/>
        <v>-9.81</v>
      </c>
      <c r="AA56" s="14">
        <f t="shared" si="13"/>
        <v>3.06287113727155E-17</v>
      </c>
      <c r="AB56" s="14">
        <f t="shared" si="14"/>
        <v>0.5</v>
      </c>
      <c r="AC56" s="14">
        <f t="shared" si="15"/>
        <v>3.06287113727155E-17</v>
      </c>
      <c r="AD56" s="14">
        <f t="shared" si="16"/>
        <v>0.5</v>
      </c>
      <c r="AE56" s="8">
        <f t="shared" si="17"/>
        <v>90</v>
      </c>
      <c r="AF56" s="14">
        <f t="shared" si="18"/>
        <v>0</v>
      </c>
      <c r="AG56" s="14">
        <f t="shared" si="19"/>
        <v>10</v>
      </c>
      <c r="AH56" s="25">
        <f t="shared" si="31"/>
        <v>0</v>
      </c>
      <c r="AI56" s="14">
        <f t="shared" si="32"/>
        <v>10</v>
      </c>
      <c r="AJ56" s="14"/>
      <c r="AK56" s="14"/>
      <c r="AL56" s="7"/>
      <c r="AN56" s="14">
        <f t="shared" si="24"/>
        <v>3.06287113727155E-17</v>
      </c>
      <c r="AO56" s="14">
        <f t="shared" si="25"/>
        <v>0.5</v>
      </c>
      <c r="AP56" s="14">
        <f t="shared" si="26"/>
        <v>0.5</v>
      </c>
      <c r="AQ56" s="8">
        <f t="shared" si="7"/>
        <v>9.8225</v>
      </c>
      <c r="AR56" s="8">
        <f t="shared" si="27"/>
        <v>9.81</v>
      </c>
      <c r="AS56" s="8">
        <f t="shared" si="28"/>
        <v>0.0125</v>
      </c>
      <c r="AT56" s="14">
        <f t="shared" si="8"/>
        <v>0</v>
      </c>
      <c r="AU56" s="26">
        <f t="shared" si="22"/>
        <v>0</v>
      </c>
      <c r="AV56" s="26">
        <f t="shared" si="30"/>
        <v>0</v>
      </c>
      <c r="AW56" s="26">
        <f t="shared" si="9"/>
        <v>0</v>
      </c>
      <c r="AX56" s="26">
        <f t="shared" si="29"/>
        <v>0</v>
      </c>
      <c r="AY56" s="26">
        <f t="shared" si="10"/>
        <v>-7.112366251504909E-16</v>
      </c>
    </row>
    <row r="57" spans="22:51" ht="15.75">
      <c r="V57" s="16">
        <v>32</v>
      </c>
      <c r="W57" s="16">
        <f t="shared" si="5"/>
        <v>32</v>
      </c>
      <c r="X57" s="13">
        <f t="shared" si="6"/>
        <v>0</v>
      </c>
      <c r="Y57" s="14">
        <f t="shared" si="11"/>
        <v>0</v>
      </c>
      <c r="Z57" s="14">
        <f t="shared" si="12"/>
        <v>-9.81</v>
      </c>
      <c r="AA57" s="14">
        <f t="shared" si="13"/>
        <v>3.06287113727155E-17</v>
      </c>
      <c r="AB57" s="14">
        <f t="shared" si="14"/>
        <v>0.5</v>
      </c>
      <c r="AC57" s="14">
        <f t="shared" si="15"/>
        <v>3.06287113727155E-17</v>
      </c>
      <c r="AD57" s="14">
        <f t="shared" si="16"/>
        <v>0.5</v>
      </c>
      <c r="AE57" s="8">
        <f t="shared" si="17"/>
        <v>90</v>
      </c>
      <c r="AF57" s="14">
        <f t="shared" si="18"/>
        <v>0</v>
      </c>
      <c r="AG57" s="14">
        <f t="shared" si="19"/>
        <v>10</v>
      </c>
      <c r="AH57" s="25">
        <f t="shared" si="31"/>
        <v>0</v>
      </c>
      <c r="AI57" s="14">
        <f t="shared" si="32"/>
        <v>10</v>
      </c>
      <c r="AJ57" s="14"/>
      <c r="AK57" s="14"/>
      <c r="AL57" s="7"/>
      <c r="AN57" s="14">
        <f t="shared" si="24"/>
        <v>3.06287113727155E-17</v>
      </c>
      <c r="AO57" s="14">
        <f t="shared" si="25"/>
        <v>0.5</v>
      </c>
      <c r="AP57" s="14">
        <f t="shared" si="26"/>
        <v>0.5</v>
      </c>
      <c r="AQ57" s="8">
        <f t="shared" si="7"/>
        <v>9.8225</v>
      </c>
      <c r="AR57" s="8">
        <f t="shared" si="27"/>
        <v>9.81</v>
      </c>
      <c r="AS57" s="8">
        <f t="shared" si="28"/>
        <v>0.0125</v>
      </c>
      <c r="AT57" s="14">
        <f t="shared" si="8"/>
        <v>0</v>
      </c>
      <c r="AU57" s="26">
        <f t="shared" si="22"/>
        <v>0</v>
      </c>
      <c r="AV57" s="26">
        <f t="shared" si="30"/>
        <v>0</v>
      </c>
      <c r="AW57" s="26">
        <f t="shared" si="9"/>
        <v>0</v>
      </c>
      <c r="AX57" s="26">
        <f t="shared" si="29"/>
        <v>0</v>
      </c>
      <c r="AY57" s="26">
        <f t="shared" si="10"/>
        <v>-7.112366251504909E-16</v>
      </c>
    </row>
    <row r="58" spans="22:51" ht="15.75">
      <c r="V58" s="16">
        <v>33</v>
      </c>
      <c r="W58" s="16">
        <f t="shared" si="5"/>
        <v>33</v>
      </c>
      <c r="X58" s="13">
        <f t="shared" si="6"/>
        <v>0</v>
      </c>
      <c r="Y58" s="14">
        <f t="shared" si="11"/>
        <v>0</v>
      </c>
      <c r="Z58" s="14">
        <f t="shared" si="12"/>
        <v>-9.81</v>
      </c>
      <c r="AA58" s="14">
        <f t="shared" si="13"/>
        <v>3.06287113727155E-17</v>
      </c>
      <c r="AB58" s="14">
        <f t="shared" si="14"/>
        <v>0.5</v>
      </c>
      <c r="AC58" s="14">
        <f t="shared" si="15"/>
        <v>3.06287113727155E-17</v>
      </c>
      <c r="AD58" s="14">
        <f t="shared" si="16"/>
        <v>0.5</v>
      </c>
      <c r="AE58" s="8">
        <f t="shared" si="17"/>
        <v>90</v>
      </c>
      <c r="AF58" s="14">
        <f t="shared" si="18"/>
        <v>0</v>
      </c>
      <c r="AG58" s="14">
        <f t="shared" si="19"/>
        <v>10</v>
      </c>
      <c r="AH58" s="25">
        <f t="shared" si="31"/>
        <v>0</v>
      </c>
      <c r="AI58" s="14">
        <f t="shared" si="32"/>
        <v>10</v>
      </c>
      <c r="AJ58" s="14"/>
      <c r="AK58" s="14"/>
      <c r="AL58" s="7"/>
      <c r="AN58" s="14">
        <f t="shared" si="24"/>
        <v>3.06287113727155E-17</v>
      </c>
      <c r="AO58" s="14">
        <f t="shared" si="25"/>
        <v>0.5</v>
      </c>
      <c r="AP58" s="14">
        <f t="shared" si="26"/>
        <v>0.5</v>
      </c>
      <c r="AQ58" s="8">
        <f t="shared" si="7"/>
        <v>9.8225</v>
      </c>
      <c r="AR58" s="8">
        <f t="shared" si="27"/>
        <v>9.81</v>
      </c>
      <c r="AS58" s="8">
        <f t="shared" si="28"/>
        <v>0.0125</v>
      </c>
      <c r="AT58" s="14">
        <f t="shared" si="8"/>
        <v>0</v>
      </c>
      <c r="AU58" s="26">
        <f t="shared" si="22"/>
        <v>0</v>
      </c>
      <c r="AV58" s="26">
        <f t="shared" si="30"/>
        <v>0</v>
      </c>
      <c r="AW58" s="26">
        <f t="shared" si="9"/>
        <v>0</v>
      </c>
      <c r="AX58" s="26">
        <f t="shared" si="29"/>
        <v>0</v>
      </c>
      <c r="AY58" s="26">
        <f t="shared" si="10"/>
        <v>-7.112366251504909E-16</v>
      </c>
    </row>
    <row r="59" spans="22:51" ht="15.75">
      <c r="V59" s="16">
        <v>34</v>
      </c>
      <c r="W59" s="16">
        <f t="shared" si="5"/>
        <v>34</v>
      </c>
      <c r="X59" s="13">
        <f t="shared" si="6"/>
        <v>0</v>
      </c>
      <c r="Y59" s="14">
        <f t="shared" si="11"/>
        <v>0</v>
      </c>
      <c r="Z59" s="14">
        <f t="shared" si="12"/>
        <v>-9.81</v>
      </c>
      <c r="AA59" s="14">
        <f t="shared" si="13"/>
        <v>3.06287113727155E-17</v>
      </c>
      <c r="AB59" s="14">
        <f t="shared" si="14"/>
        <v>0.5</v>
      </c>
      <c r="AC59" s="14">
        <f t="shared" si="15"/>
        <v>3.06287113727155E-17</v>
      </c>
      <c r="AD59" s="14">
        <f t="shared" si="16"/>
        <v>0.5</v>
      </c>
      <c r="AE59" s="8">
        <f t="shared" si="17"/>
        <v>90</v>
      </c>
      <c r="AF59" s="14">
        <f t="shared" si="18"/>
        <v>0</v>
      </c>
      <c r="AG59" s="14">
        <f t="shared" si="19"/>
        <v>10</v>
      </c>
      <c r="AH59" s="25">
        <f t="shared" si="31"/>
        <v>0</v>
      </c>
      <c r="AI59" s="14">
        <f t="shared" si="32"/>
        <v>10</v>
      </c>
      <c r="AJ59" s="14"/>
      <c r="AK59" s="14"/>
      <c r="AL59" s="7"/>
      <c r="AN59" s="14">
        <f t="shared" si="24"/>
        <v>3.06287113727155E-17</v>
      </c>
      <c r="AO59" s="14">
        <f t="shared" si="25"/>
        <v>0.5</v>
      </c>
      <c r="AP59" s="14">
        <f t="shared" si="26"/>
        <v>0.5</v>
      </c>
      <c r="AQ59" s="8">
        <f t="shared" si="7"/>
        <v>9.8225</v>
      </c>
      <c r="AR59" s="8">
        <f t="shared" si="27"/>
        <v>9.81</v>
      </c>
      <c r="AS59" s="8">
        <f t="shared" si="28"/>
        <v>0.0125</v>
      </c>
      <c r="AT59" s="14">
        <f t="shared" si="8"/>
        <v>0</v>
      </c>
      <c r="AU59" s="26">
        <f t="shared" si="22"/>
        <v>0</v>
      </c>
      <c r="AV59" s="26">
        <f t="shared" si="30"/>
        <v>0</v>
      </c>
      <c r="AW59" s="26">
        <f t="shared" si="9"/>
        <v>0</v>
      </c>
      <c r="AX59" s="26">
        <f t="shared" si="29"/>
        <v>0</v>
      </c>
      <c r="AY59" s="26">
        <f t="shared" si="10"/>
        <v>-7.112366251504909E-16</v>
      </c>
    </row>
    <row r="60" spans="22:51" ht="15.75">
      <c r="V60" s="7">
        <v>35</v>
      </c>
      <c r="W60" s="16">
        <f t="shared" si="5"/>
        <v>35</v>
      </c>
      <c r="X60" s="13">
        <f t="shared" si="6"/>
        <v>0</v>
      </c>
      <c r="Y60" s="14">
        <f t="shared" si="11"/>
        <v>0</v>
      </c>
      <c r="Z60" s="14">
        <f t="shared" si="12"/>
        <v>-9.81</v>
      </c>
      <c r="AA60" s="14">
        <f t="shared" si="13"/>
        <v>3.06287113727155E-17</v>
      </c>
      <c r="AB60" s="14">
        <f t="shared" si="14"/>
        <v>0.5</v>
      </c>
      <c r="AC60" s="14">
        <f t="shared" si="15"/>
        <v>3.06287113727155E-17</v>
      </c>
      <c r="AD60" s="14">
        <f t="shared" si="16"/>
        <v>0.5</v>
      </c>
      <c r="AE60" s="8">
        <f t="shared" si="17"/>
        <v>90</v>
      </c>
      <c r="AF60" s="14">
        <f t="shared" si="18"/>
        <v>0</v>
      </c>
      <c r="AG60" s="14">
        <f t="shared" si="19"/>
        <v>10</v>
      </c>
      <c r="AH60" s="25">
        <f t="shared" si="31"/>
        <v>0</v>
      </c>
      <c r="AI60" s="14">
        <f t="shared" si="32"/>
        <v>10</v>
      </c>
      <c r="AJ60" s="14"/>
      <c r="AK60" s="14"/>
      <c r="AL60" s="7"/>
      <c r="AN60" s="14">
        <f t="shared" si="24"/>
        <v>3.06287113727155E-17</v>
      </c>
      <c r="AO60" s="14">
        <f t="shared" si="25"/>
        <v>0.5</v>
      </c>
      <c r="AP60" s="14">
        <f t="shared" si="26"/>
        <v>0.5</v>
      </c>
      <c r="AQ60" s="8">
        <f t="shared" si="7"/>
        <v>9.8225</v>
      </c>
      <c r="AR60" s="8">
        <f t="shared" si="27"/>
        <v>9.81</v>
      </c>
      <c r="AS60" s="8">
        <f t="shared" si="28"/>
        <v>0.0125</v>
      </c>
      <c r="AT60" s="14">
        <f t="shared" si="8"/>
        <v>0</v>
      </c>
      <c r="AU60" s="26">
        <f t="shared" si="22"/>
        <v>0</v>
      </c>
      <c r="AV60" s="26">
        <f t="shared" si="30"/>
        <v>0</v>
      </c>
      <c r="AW60" s="26">
        <f t="shared" si="9"/>
        <v>0</v>
      </c>
      <c r="AX60" s="26">
        <f t="shared" si="29"/>
        <v>0</v>
      </c>
      <c r="AY60" s="26">
        <f t="shared" si="10"/>
        <v>-7.112366251504909E-16</v>
      </c>
    </row>
    <row r="61" spans="22:51" ht="15.75">
      <c r="V61" s="16">
        <v>36</v>
      </c>
      <c r="W61" s="16">
        <f t="shared" si="5"/>
        <v>36</v>
      </c>
      <c r="X61" s="13">
        <f t="shared" si="6"/>
        <v>0</v>
      </c>
      <c r="Y61" s="14">
        <f t="shared" si="11"/>
        <v>0</v>
      </c>
      <c r="Z61" s="14">
        <f t="shared" si="12"/>
        <v>-9.81</v>
      </c>
      <c r="AA61" s="14">
        <f t="shared" si="13"/>
        <v>3.06287113727155E-17</v>
      </c>
      <c r="AB61" s="14">
        <f t="shared" si="14"/>
        <v>0.5</v>
      </c>
      <c r="AC61" s="14">
        <f t="shared" si="15"/>
        <v>3.06287113727155E-17</v>
      </c>
      <c r="AD61" s="14">
        <f t="shared" si="16"/>
        <v>0.5</v>
      </c>
      <c r="AE61" s="8">
        <f t="shared" si="17"/>
        <v>90</v>
      </c>
      <c r="AF61" s="14">
        <f t="shared" si="18"/>
        <v>0</v>
      </c>
      <c r="AG61" s="14">
        <f t="shared" si="19"/>
        <v>10</v>
      </c>
      <c r="AH61" s="25">
        <f t="shared" si="31"/>
        <v>0</v>
      </c>
      <c r="AI61" s="14">
        <f t="shared" si="32"/>
        <v>10</v>
      </c>
      <c r="AJ61" s="14"/>
      <c r="AK61" s="14"/>
      <c r="AL61" s="7"/>
      <c r="AN61" s="14">
        <f t="shared" si="24"/>
        <v>3.06287113727155E-17</v>
      </c>
      <c r="AO61" s="14">
        <f t="shared" si="25"/>
        <v>0.5</v>
      </c>
      <c r="AP61" s="14">
        <f t="shared" si="26"/>
        <v>0.5</v>
      </c>
      <c r="AQ61" s="8">
        <f t="shared" si="7"/>
        <v>9.8225</v>
      </c>
      <c r="AR61" s="8">
        <f t="shared" si="27"/>
        <v>9.81</v>
      </c>
      <c r="AS61" s="8">
        <f t="shared" si="28"/>
        <v>0.0125</v>
      </c>
      <c r="AT61" s="14">
        <f t="shared" si="8"/>
        <v>0</v>
      </c>
      <c r="AU61" s="26">
        <f t="shared" si="22"/>
        <v>0</v>
      </c>
      <c r="AV61" s="26">
        <f t="shared" si="30"/>
        <v>0</v>
      </c>
      <c r="AW61" s="26">
        <f t="shared" si="9"/>
        <v>0</v>
      </c>
      <c r="AX61" s="26">
        <f t="shared" si="29"/>
        <v>0</v>
      </c>
      <c r="AY61" s="26">
        <f t="shared" si="10"/>
        <v>-7.112366251504909E-16</v>
      </c>
    </row>
    <row r="62" spans="22:51" ht="15.75">
      <c r="V62" s="16">
        <v>37</v>
      </c>
      <c r="W62" s="16">
        <f t="shared" si="5"/>
        <v>37</v>
      </c>
      <c r="X62" s="13">
        <f t="shared" si="6"/>
        <v>0</v>
      </c>
      <c r="Y62" s="14">
        <f t="shared" si="11"/>
        <v>0</v>
      </c>
      <c r="Z62" s="14">
        <f t="shared" si="12"/>
        <v>-9.81</v>
      </c>
      <c r="AA62" s="14">
        <f t="shared" si="13"/>
        <v>3.06287113727155E-17</v>
      </c>
      <c r="AB62" s="14">
        <f t="shared" si="14"/>
        <v>0.5</v>
      </c>
      <c r="AC62" s="14">
        <f t="shared" si="15"/>
        <v>3.06287113727155E-17</v>
      </c>
      <c r="AD62" s="14">
        <f t="shared" si="16"/>
        <v>0.5</v>
      </c>
      <c r="AE62" s="8">
        <f t="shared" si="17"/>
        <v>90</v>
      </c>
      <c r="AF62" s="14">
        <f t="shared" si="18"/>
        <v>0</v>
      </c>
      <c r="AG62" s="14">
        <f t="shared" si="19"/>
        <v>10</v>
      </c>
      <c r="AH62" s="25">
        <f t="shared" si="31"/>
        <v>0</v>
      </c>
      <c r="AI62" s="14">
        <f t="shared" si="32"/>
        <v>10</v>
      </c>
      <c r="AJ62" s="14"/>
      <c r="AK62" s="14"/>
      <c r="AL62" s="7"/>
      <c r="AN62" s="14">
        <f t="shared" si="24"/>
        <v>3.06287113727155E-17</v>
      </c>
      <c r="AO62" s="14">
        <f t="shared" si="25"/>
        <v>0.5</v>
      </c>
      <c r="AP62" s="14">
        <f t="shared" si="26"/>
        <v>0.5</v>
      </c>
      <c r="AQ62" s="8">
        <f t="shared" si="7"/>
        <v>9.8225</v>
      </c>
      <c r="AR62" s="8">
        <f t="shared" si="27"/>
        <v>9.81</v>
      </c>
      <c r="AS62" s="8">
        <f t="shared" si="28"/>
        <v>0.0125</v>
      </c>
      <c r="AT62" s="14">
        <f t="shared" si="8"/>
        <v>0</v>
      </c>
      <c r="AU62" s="26">
        <f t="shared" si="22"/>
        <v>0</v>
      </c>
      <c r="AV62" s="26">
        <f t="shared" si="30"/>
        <v>0</v>
      </c>
      <c r="AW62" s="26">
        <f t="shared" si="9"/>
        <v>0</v>
      </c>
      <c r="AX62" s="26">
        <f t="shared" si="29"/>
        <v>0</v>
      </c>
      <c r="AY62" s="26">
        <f t="shared" si="10"/>
        <v>-7.112366251504909E-16</v>
      </c>
    </row>
    <row r="63" spans="22:51" ht="15.75">
      <c r="V63" s="7">
        <v>38</v>
      </c>
      <c r="W63" s="16">
        <f t="shared" si="5"/>
        <v>38</v>
      </c>
      <c r="X63" s="13">
        <f t="shared" si="6"/>
        <v>0</v>
      </c>
      <c r="Y63" s="14">
        <f t="shared" si="11"/>
        <v>0</v>
      </c>
      <c r="Z63" s="14">
        <f t="shared" si="12"/>
        <v>-9.81</v>
      </c>
      <c r="AA63" s="14">
        <f t="shared" si="13"/>
        <v>3.06287113727155E-17</v>
      </c>
      <c r="AB63" s="14">
        <f t="shared" si="14"/>
        <v>0.5</v>
      </c>
      <c r="AC63" s="14">
        <f t="shared" si="15"/>
        <v>3.06287113727155E-17</v>
      </c>
      <c r="AD63" s="14">
        <f t="shared" si="16"/>
        <v>0.5</v>
      </c>
      <c r="AE63" s="8">
        <f t="shared" si="17"/>
        <v>90</v>
      </c>
      <c r="AF63" s="14">
        <f t="shared" si="18"/>
        <v>0</v>
      </c>
      <c r="AG63" s="14">
        <f t="shared" si="19"/>
        <v>10</v>
      </c>
      <c r="AH63" s="25">
        <f t="shared" si="31"/>
        <v>0</v>
      </c>
      <c r="AI63" s="14">
        <f t="shared" si="32"/>
        <v>10</v>
      </c>
      <c r="AJ63" s="14"/>
      <c r="AK63" s="14"/>
      <c r="AL63" s="7"/>
      <c r="AN63" s="14">
        <f t="shared" si="24"/>
        <v>3.06287113727155E-17</v>
      </c>
      <c r="AO63" s="14">
        <f t="shared" si="25"/>
        <v>0.5</v>
      </c>
      <c r="AP63" s="14">
        <f t="shared" si="26"/>
        <v>0.5</v>
      </c>
      <c r="AQ63" s="8">
        <f t="shared" si="7"/>
        <v>9.8225</v>
      </c>
      <c r="AR63" s="8">
        <f t="shared" si="27"/>
        <v>9.81</v>
      </c>
      <c r="AS63" s="8">
        <f t="shared" si="28"/>
        <v>0.0125</v>
      </c>
      <c r="AT63" s="14">
        <f t="shared" si="8"/>
        <v>0</v>
      </c>
      <c r="AU63" s="26">
        <f t="shared" si="22"/>
        <v>0</v>
      </c>
      <c r="AV63" s="26">
        <f t="shared" si="30"/>
        <v>0</v>
      </c>
      <c r="AW63" s="26">
        <f t="shared" si="9"/>
        <v>0</v>
      </c>
      <c r="AX63" s="26">
        <f t="shared" si="29"/>
        <v>0</v>
      </c>
      <c r="AY63" s="26">
        <f t="shared" si="10"/>
        <v>-7.112366251504909E-16</v>
      </c>
    </row>
    <row r="64" spans="22:51" ht="15.75">
      <c r="V64" s="16">
        <v>39</v>
      </c>
      <c r="W64" s="16">
        <f t="shared" si="5"/>
        <v>39</v>
      </c>
      <c r="X64" s="13">
        <f t="shared" si="6"/>
        <v>0</v>
      </c>
      <c r="Y64" s="14">
        <f t="shared" si="11"/>
        <v>0</v>
      </c>
      <c r="Z64" s="14">
        <f t="shared" si="12"/>
        <v>-9.81</v>
      </c>
      <c r="AA64" s="14">
        <f t="shared" si="13"/>
        <v>3.06287113727155E-17</v>
      </c>
      <c r="AB64" s="14">
        <f t="shared" si="14"/>
        <v>0.5</v>
      </c>
      <c r="AC64" s="14">
        <f t="shared" si="15"/>
        <v>3.06287113727155E-17</v>
      </c>
      <c r="AD64" s="14">
        <f t="shared" si="16"/>
        <v>0.5</v>
      </c>
      <c r="AE64" s="8">
        <f t="shared" si="17"/>
        <v>90</v>
      </c>
      <c r="AF64" s="14">
        <f t="shared" si="18"/>
        <v>0</v>
      </c>
      <c r="AG64" s="14">
        <f t="shared" si="19"/>
        <v>10</v>
      </c>
      <c r="AH64" s="25">
        <f t="shared" si="31"/>
        <v>0</v>
      </c>
      <c r="AI64" s="14">
        <f t="shared" si="32"/>
        <v>10</v>
      </c>
      <c r="AJ64" s="14"/>
      <c r="AK64" s="14"/>
      <c r="AL64" s="7"/>
      <c r="AN64" s="14">
        <f t="shared" si="24"/>
        <v>3.06287113727155E-17</v>
      </c>
      <c r="AO64" s="14">
        <f t="shared" si="25"/>
        <v>0.5</v>
      </c>
      <c r="AP64" s="14">
        <f t="shared" si="26"/>
        <v>0.5</v>
      </c>
      <c r="AQ64" s="8">
        <f t="shared" si="7"/>
        <v>9.8225</v>
      </c>
      <c r="AR64" s="8">
        <f t="shared" si="27"/>
        <v>9.81</v>
      </c>
      <c r="AS64" s="8">
        <f t="shared" si="28"/>
        <v>0.0125</v>
      </c>
      <c r="AT64" s="14">
        <f t="shared" si="8"/>
        <v>0</v>
      </c>
      <c r="AU64" s="26">
        <f t="shared" si="22"/>
        <v>0</v>
      </c>
      <c r="AV64" s="26">
        <f t="shared" si="30"/>
        <v>0</v>
      </c>
      <c r="AW64" s="26">
        <f t="shared" si="9"/>
        <v>0</v>
      </c>
      <c r="AX64" s="26">
        <f t="shared" si="29"/>
        <v>0</v>
      </c>
      <c r="AY64" s="26">
        <f t="shared" si="10"/>
        <v>-7.112366251504909E-16</v>
      </c>
    </row>
    <row r="65" spans="22:51" ht="15.75">
      <c r="V65" s="16">
        <v>40</v>
      </c>
      <c r="W65" s="16">
        <f t="shared" si="5"/>
        <v>40</v>
      </c>
      <c r="X65" s="13">
        <f t="shared" si="6"/>
        <v>0</v>
      </c>
      <c r="Y65" s="14">
        <f t="shared" si="11"/>
        <v>0</v>
      </c>
      <c r="Z65" s="14">
        <f t="shared" si="12"/>
        <v>-9.81</v>
      </c>
      <c r="AA65" s="14">
        <f t="shared" si="13"/>
        <v>3.06287113727155E-17</v>
      </c>
      <c r="AB65" s="14">
        <f t="shared" si="14"/>
        <v>0.5</v>
      </c>
      <c r="AC65" s="14">
        <f t="shared" si="15"/>
        <v>3.06287113727155E-17</v>
      </c>
      <c r="AD65" s="14">
        <f t="shared" si="16"/>
        <v>0.5</v>
      </c>
      <c r="AE65" s="8">
        <f t="shared" si="17"/>
        <v>90</v>
      </c>
      <c r="AF65" s="14">
        <f t="shared" si="18"/>
        <v>0</v>
      </c>
      <c r="AG65" s="14">
        <f t="shared" si="19"/>
        <v>10</v>
      </c>
      <c r="AH65" s="25">
        <f t="shared" si="31"/>
        <v>0</v>
      </c>
      <c r="AI65" s="14">
        <f t="shared" si="32"/>
        <v>10</v>
      </c>
      <c r="AJ65" s="14"/>
      <c r="AK65" s="14"/>
      <c r="AL65" s="7"/>
      <c r="AN65" s="14">
        <f t="shared" si="24"/>
        <v>3.06287113727155E-17</v>
      </c>
      <c r="AO65" s="14">
        <f t="shared" si="25"/>
        <v>0.5</v>
      </c>
      <c r="AP65" s="14">
        <f t="shared" si="26"/>
        <v>0.5</v>
      </c>
      <c r="AQ65" s="8">
        <f t="shared" si="7"/>
        <v>9.8225</v>
      </c>
      <c r="AR65" s="8">
        <f t="shared" si="27"/>
        <v>9.81</v>
      </c>
      <c r="AS65" s="8">
        <f t="shared" si="28"/>
        <v>0.0125</v>
      </c>
      <c r="AT65" s="14">
        <f t="shared" si="8"/>
        <v>0</v>
      </c>
      <c r="AU65" s="26">
        <f t="shared" si="22"/>
        <v>0</v>
      </c>
      <c r="AV65" s="26">
        <f t="shared" si="30"/>
        <v>0</v>
      </c>
      <c r="AW65" s="26">
        <f t="shared" si="9"/>
        <v>0</v>
      </c>
      <c r="AX65" s="26">
        <f t="shared" si="29"/>
        <v>0</v>
      </c>
      <c r="AY65" s="26">
        <f t="shared" si="10"/>
        <v>-7.112366251504909E-16</v>
      </c>
    </row>
    <row r="66" spans="22:51" ht="15.75">
      <c r="V66" s="16">
        <v>41</v>
      </c>
      <c r="W66" s="16">
        <f t="shared" si="5"/>
        <v>41</v>
      </c>
      <c r="X66" s="13">
        <f t="shared" si="6"/>
        <v>0</v>
      </c>
      <c r="Y66" s="14">
        <f t="shared" si="11"/>
        <v>0</v>
      </c>
      <c r="Z66" s="14">
        <f t="shared" si="12"/>
        <v>-9.81</v>
      </c>
      <c r="AA66" s="14">
        <f t="shared" si="13"/>
        <v>3.06287113727155E-17</v>
      </c>
      <c r="AB66" s="14">
        <f t="shared" si="14"/>
        <v>0.5</v>
      </c>
      <c r="AC66" s="14">
        <f t="shared" si="15"/>
        <v>3.06287113727155E-17</v>
      </c>
      <c r="AD66" s="14">
        <f t="shared" si="16"/>
        <v>0.5</v>
      </c>
      <c r="AE66" s="8">
        <f t="shared" si="17"/>
        <v>90</v>
      </c>
      <c r="AF66" s="14">
        <f t="shared" si="18"/>
        <v>0</v>
      </c>
      <c r="AG66" s="14">
        <f t="shared" si="19"/>
        <v>10</v>
      </c>
      <c r="AH66" s="25">
        <f t="shared" si="31"/>
        <v>0</v>
      </c>
      <c r="AI66" s="14">
        <f t="shared" si="32"/>
        <v>10</v>
      </c>
      <c r="AJ66" s="14"/>
      <c r="AK66" s="14"/>
      <c r="AL66" s="7"/>
      <c r="AN66" s="14">
        <f aca="true" t="shared" si="33" ref="AN66:AN80">AC66</f>
        <v>3.06287113727155E-17</v>
      </c>
      <c r="AO66" s="14">
        <f aca="true" t="shared" si="34" ref="AO66:AO80">AD66</f>
        <v>0.5</v>
      </c>
      <c r="AP66" s="14">
        <f aca="true" t="shared" si="35" ref="AP66:AP80">SQRT(AN66^2+AO66^2)</f>
        <v>0.5</v>
      </c>
      <c r="AQ66" s="8">
        <f t="shared" si="7"/>
        <v>9.8225</v>
      </c>
      <c r="AR66" s="8">
        <f aca="true" t="shared" si="36" ref="AR66:AR80">$C$4*9.81*AI66</f>
        <v>9.81</v>
      </c>
      <c r="AS66" s="8">
        <f aca="true" t="shared" si="37" ref="AS66:AS80">0.5*$C$4*AP66^2</f>
        <v>0.0125</v>
      </c>
      <c r="AT66" s="14">
        <f t="shared" si="8"/>
        <v>0</v>
      </c>
      <c r="AU66" s="26">
        <f t="shared" si="22"/>
        <v>0</v>
      </c>
      <c r="AV66" s="26">
        <f t="shared" si="30"/>
        <v>0</v>
      </c>
      <c r="AW66" s="26">
        <f t="shared" si="9"/>
        <v>0</v>
      </c>
      <c r="AX66" s="26">
        <f aca="true" t="shared" si="38" ref="AX66:AX80">AV66+AW66</f>
        <v>0</v>
      </c>
      <c r="AY66" s="26">
        <f t="shared" si="10"/>
        <v>-7.112366251504909E-16</v>
      </c>
    </row>
    <row r="67" spans="22:51" ht="15.75">
      <c r="V67" s="16">
        <v>42</v>
      </c>
      <c r="W67" s="16">
        <f t="shared" si="5"/>
        <v>42</v>
      </c>
      <c r="X67" s="13">
        <f t="shared" si="6"/>
        <v>0</v>
      </c>
      <c r="Y67" s="14">
        <f t="shared" si="11"/>
        <v>0</v>
      </c>
      <c r="Z67" s="14">
        <f t="shared" si="12"/>
        <v>-9.81</v>
      </c>
      <c r="AA67" s="14">
        <f t="shared" si="13"/>
        <v>3.06287113727155E-17</v>
      </c>
      <c r="AB67" s="14">
        <f t="shared" si="14"/>
        <v>0.5</v>
      </c>
      <c r="AC67" s="14">
        <f t="shared" si="15"/>
        <v>3.06287113727155E-17</v>
      </c>
      <c r="AD67" s="14">
        <f t="shared" si="16"/>
        <v>0.5</v>
      </c>
      <c r="AE67" s="8">
        <f t="shared" si="17"/>
        <v>90</v>
      </c>
      <c r="AF67" s="14">
        <f t="shared" si="18"/>
        <v>0</v>
      </c>
      <c r="AG67" s="14">
        <f t="shared" si="19"/>
        <v>10</v>
      </c>
      <c r="AH67" s="25">
        <f t="shared" si="31"/>
        <v>0</v>
      </c>
      <c r="AI67" s="14">
        <f t="shared" si="32"/>
        <v>10</v>
      </c>
      <c r="AJ67" s="14"/>
      <c r="AK67" s="14"/>
      <c r="AL67" s="7"/>
      <c r="AN67" s="14">
        <f t="shared" si="33"/>
        <v>3.06287113727155E-17</v>
      </c>
      <c r="AO67" s="14">
        <f t="shared" si="34"/>
        <v>0.5</v>
      </c>
      <c r="AP67" s="14">
        <f t="shared" si="35"/>
        <v>0.5</v>
      </c>
      <c r="AQ67" s="8">
        <f t="shared" si="7"/>
        <v>9.8225</v>
      </c>
      <c r="AR67" s="8">
        <f t="shared" si="36"/>
        <v>9.81</v>
      </c>
      <c r="AS67" s="8">
        <f t="shared" si="37"/>
        <v>0.0125</v>
      </c>
      <c r="AT67" s="14">
        <f t="shared" si="8"/>
        <v>0</v>
      </c>
      <c r="AU67" s="26">
        <f t="shared" si="22"/>
        <v>0</v>
      </c>
      <c r="AV67" s="26">
        <f t="shared" si="30"/>
        <v>0</v>
      </c>
      <c r="AW67" s="26">
        <f t="shared" si="9"/>
        <v>0</v>
      </c>
      <c r="AX67" s="26">
        <f t="shared" si="38"/>
        <v>0</v>
      </c>
      <c r="AY67" s="26">
        <f t="shared" si="10"/>
        <v>-7.112366251504909E-16</v>
      </c>
    </row>
    <row r="68" spans="22:51" ht="15.75">
      <c r="V68" s="7">
        <v>43</v>
      </c>
      <c r="W68" s="16">
        <f t="shared" si="5"/>
        <v>43</v>
      </c>
      <c r="X68" s="13">
        <f t="shared" si="6"/>
        <v>0</v>
      </c>
      <c r="Y68" s="14">
        <f t="shared" si="11"/>
        <v>0</v>
      </c>
      <c r="Z68" s="14">
        <f t="shared" si="12"/>
        <v>-9.81</v>
      </c>
      <c r="AA68" s="14">
        <f t="shared" si="13"/>
        <v>3.06287113727155E-17</v>
      </c>
      <c r="AB68" s="14">
        <f t="shared" si="14"/>
        <v>0.5</v>
      </c>
      <c r="AC68" s="14">
        <f t="shared" si="15"/>
        <v>3.06287113727155E-17</v>
      </c>
      <c r="AD68" s="14">
        <f t="shared" si="16"/>
        <v>0.5</v>
      </c>
      <c r="AE68" s="8">
        <f t="shared" si="17"/>
        <v>90</v>
      </c>
      <c r="AF68" s="14">
        <f t="shared" si="18"/>
        <v>0</v>
      </c>
      <c r="AG68" s="14">
        <f t="shared" si="19"/>
        <v>10</v>
      </c>
      <c r="AH68" s="25">
        <f t="shared" si="31"/>
        <v>0</v>
      </c>
      <c r="AI68" s="14">
        <f t="shared" si="32"/>
        <v>10</v>
      </c>
      <c r="AJ68" s="14"/>
      <c r="AK68" s="14"/>
      <c r="AL68" s="7"/>
      <c r="AN68" s="14">
        <f t="shared" si="33"/>
        <v>3.06287113727155E-17</v>
      </c>
      <c r="AO68" s="14">
        <f t="shared" si="34"/>
        <v>0.5</v>
      </c>
      <c r="AP68" s="14">
        <f t="shared" si="35"/>
        <v>0.5</v>
      </c>
      <c r="AQ68" s="8">
        <f t="shared" si="7"/>
        <v>9.8225</v>
      </c>
      <c r="AR68" s="8">
        <f t="shared" si="36"/>
        <v>9.81</v>
      </c>
      <c r="AS68" s="8">
        <f t="shared" si="37"/>
        <v>0.0125</v>
      </c>
      <c r="AT68" s="14">
        <f t="shared" si="8"/>
        <v>0</v>
      </c>
      <c r="AU68" s="26">
        <f t="shared" si="22"/>
        <v>0</v>
      </c>
      <c r="AV68" s="26">
        <f t="shared" si="30"/>
        <v>0</v>
      </c>
      <c r="AW68" s="26">
        <f t="shared" si="9"/>
        <v>0</v>
      </c>
      <c r="AX68" s="26">
        <f t="shared" si="38"/>
        <v>0</v>
      </c>
      <c r="AY68" s="26">
        <f t="shared" si="10"/>
        <v>-7.112366251504909E-16</v>
      </c>
    </row>
    <row r="69" spans="22:51" ht="15.75">
      <c r="V69" s="16">
        <v>44</v>
      </c>
      <c r="W69" s="16">
        <f t="shared" si="5"/>
        <v>44</v>
      </c>
      <c r="X69" s="13">
        <f t="shared" si="6"/>
        <v>0</v>
      </c>
      <c r="Y69" s="14">
        <f t="shared" si="11"/>
        <v>0</v>
      </c>
      <c r="Z69" s="14">
        <f t="shared" si="12"/>
        <v>-9.81</v>
      </c>
      <c r="AA69" s="14">
        <f t="shared" si="13"/>
        <v>3.06287113727155E-17</v>
      </c>
      <c r="AB69" s="14">
        <f t="shared" si="14"/>
        <v>0.5</v>
      </c>
      <c r="AC69" s="14">
        <f t="shared" si="15"/>
        <v>3.06287113727155E-17</v>
      </c>
      <c r="AD69" s="14">
        <f t="shared" si="16"/>
        <v>0.5</v>
      </c>
      <c r="AE69" s="8">
        <f t="shared" si="17"/>
        <v>90</v>
      </c>
      <c r="AF69" s="14">
        <f t="shared" si="18"/>
        <v>0</v>
      </c>
      <c r="AG69" s="14">
        <f t="shared" si="19"/>
        <v>10</v>
      </c>
      <c r="AH69" s="25">
        <f t="shared" si="31"/>
        <v>0</v>
      </c>
      <c r="AI69" s="14">
        <f t="shared" si="32"/>
        <v>10</v>
      </c>
      <c r="AJ69" s="14"/>
      <c r="AK69" s="14"/>
      <c r="AL69" s="7"/>
      <c r="AN69" s="14">
        <f t="shared" si="33"/>
        <v>3.06287113727155E-17</v>
      </c>
      <c r="AO69" s="14">
        <f t="shared" si="34"/>
        <v>0.5</v>
      </c>
      <c r="AP69" s="14">
        <f t="shared" si="35"/>
        <v>0.5</v>
      </c>
      <c r="AQ69" s="8">
        <f t="shared" si="7"/>
        <v>9.8225</v>
      </c>
      <c r="AR69" s="8">
        <f t="shared" si="36"/>
        <v>9.81</v>
      </c>
      <c r="AS69" s="8">
        <f t="shared" si="37"/>
        <v>0.0125</v>
      </c>
      <c r="AT69" s="14">
        <f t="shared" si="8"/>
        <v>0</v>
      </c>
      <c r="AU69" s="26">
        <f t="shared" si="22"/>
        <v>0</v>
      </c>
      <c r="AV69" s="26">
        <f t="shared" si="30"/>
        <v>0</v>
      </c>
      <c r="AW69" s="26">
        <f t="shared" si="9"/>
        <v>0</v>
      </c>
      <c r="AX69" s="26">
        <f t="shared" si="38"/>
        <v>0</v>
      </c>
      <c r="AY69" s="26">
        <f t="shared" si="10"/>
        <v>-7.112366251504909E-16</v>
      </c>
    </row>
    <row r="70" spans="22:51" ht="15.75">
      <c r="V70" s="16">
        <v>45</v>
      </c>
      <c r="W70" s="16">
        <f t="shared" si="5"/>
        <v>45</v>
      </c>
      <c r="X70" s="13">
        <f t="shared" si="6"/>
        <v>0</v>
      </c>
      <c r="Y70" s="14">
        <f t="shared" si="11"/>
        <v>0</v>
      </c>
      <c r="Z70" s="14">
        <f t="shared" si="12"/>
        <v>-9.81</v>
      </c>
      <c r="AA70" s="14">
        <f t="shared" si="13"/>
        <v>3.06287113727155E-17</v>
      </c>
      <c r="AB70" s="14">
        <f t="shared" si="14"/>
        <v>0.5</v>
      </c>
      <c r="AC70" s="14">
        <f t="shared" si="15"/>
        <v>3.06287113727155E-17</v>
      </c>
      <c r="AD70" s="14">
        <f t="shared" si="16"/>
        <v>0.5</v>
      </c>
      <c r="AE70" s="8">
        <f t="shared" si="17"/>
        <v>90</v>
      </c>
      <c r="AF70" s="14">
        <f t="shared" si="18"/>
        <v>0</v>
      </c>
      <c r="AG70" s="14">
        <f t="shared" si="19"/>
        <v>10</v>
      </c>
      <c r="AH70" s="25">
        <f t="shared" si="31"/>
        <v>0</v>
      </c>
      <c r="AI70" s="14">
        <f t="shared" si="32"/>
        <v>10</v>
      </c>
      <c r="AJ70" s="14"/>
      <c r="AK70" s="14"/>
      <c r="AL70" s="7"/>
      <c r="AN70" s="14">
        <f t="shared" si="33"/>
        <v>3.06287113727155E-17</v>
      </c>
      <c r="AO70" s="14">
        <f t="shared" si="34"/>
        <v>0.5</v>
      </c>
      <c r="AP70" s="14">
        <f t="shared" si="35"/>
        <v>0.5</v>
      </c>
      <c r="AQ70" s="8">
        <f t="shared" si="7"/>
        <v>9.8225</v>
      </c>
      <c r="AR70" s="8">
        <f t="shared" si="36"/>
        <v>9.81</v>
      </c>
      <c r="AS70" s="8">
        <f t="shared" si="37"/>
        <v>0.0125</v>
      </c>
      <c r="AT70" s="14">
        <f t="shared" si="8"/>
        <v>0</v>
      </c>
      <c r="AU70" s="26">
        <f t="shared" si="22"/>
        <v>0</v>
      </c>
      <c r="AV70" s="26">
        <f t="shared" si="30"/>
        <v>0</v>
      </c>
      <c r="AW70" s="26">
        <f t="shared" si="9"/>
        <v>0</v>
      </c>
      <c r="AX70" s="26">
        <f t="shared" si="38"/>
        <v>0</v>
      </c>
      <c r="AY70" s="26">
        <f t="shared" si="10"/>
        <v>-7.112366251504909E-16</v>
      </c>
    </row>
    <row r="71" spans="22:51" ht="15.75">
      <c r="V71" s="16">
        <v>46</v>
      </c>
      <c r="W71" s="16">
        <f t="shared" si="5"/>
        <v>46</v>
      </c>
      <c r="X71" s="13">
        <f t="shared" si="6"/>
        <v>0</v>
      </c>
      <c r="Y71" s="14">
        <f t="shared" si="11"/>
        <v>0</v>
      </c>
      <c r="Z71" s="14">
        <f t="shared" si="12"/>
        <v>-9.81</v>
      </c>
      <c r="AA71" s="14">
        <f t="shared" si="13"/>
        <v>3.06287113727155E-17</v>
      </c>
      <c r="AB71" s="14">
        <f t="shared" si="14"/>
        <v>0.5</v>
      </c>
      <c r="AC71" s="14">
        <f t="shared" si="15"/>
        <v>3.06287113727155E-17</v>
      </c>
      <c r="AD71" s="14">
        <f t="shared" si="16"/>
        <v>0.5</v>
      </c>
      <c r="AE71" s="8">
        <f t="shared" si="17"/>
        <v>90</v>
      </c>
      <c r="AF71" s="14">
        <f t="shared" si="18"/>
        <v>0</v>
      </c>
      <c r="AG71" s="14">
        <f t="shared" si="19"/>
        <v>10</v>
      </c>
      <c r="AH71" s="25">
        <f t="shared" si="31"/>
        <v>0</v>
      </c>
      <c r="AI71" s="14">
        <f t="shared" si="32"/>
        <v>10</v>
      </c>
      <c r="AJ71" s="14"/>
      <c r="AK71" s="14"/>
      <c r="AL71" s="7"/>
      <c r="AN71" s="14">
        <f t="shared" si="33"/>
        <v>3.06287113727155E-17</v>
      </c>
      <c r="AO71" s="14">
        <f t="shared" si="34"/>
        <v>0.5</v>
      </c>
      <c r="AP71" s="14">
        <f t="shared" si="35"/>
        <v>0.5</v>
      </c>
      <c r="AQ71" s="8">
        <f t="shared" si="7"/>
        <v>9.8225</v>
      </c>
      <c r="AR71" s="8">
        <f t="shared" si="36"/>
        <v>9.81</v>
      </c>
      <c r="AS71" s="8">
        <f t="shared" si="37"/>
        <v>0.0125</v>
      </c>
      <c r="AT71" s="14">
        <f t="shared" si="8"/>
        <v>0</v>
      </c>
      <c r="AU71" s="26">
        <f t="shared" si="22"/>
        <v>0</v>
      </c>
      <c r="AV71" s="26">
        <f t="shared" si="30"/>
        <v>0</v>
      </c>
      <c r="AW71" s="26">
        <f t="shared" si="9"/>
        <v>0</v>
      </c>
      <c r="AX71" s="26">
        <f t="shared" si="38"/>
        <v>0</v>
      </c>
      <c r="AY71" s="26">
        <f t="shared" si="10"/>
        <v>-7.112366251504909E-16</v>
      </c>
    </row>
    <row r="72" spans="22:51" ht="15.75">
      <c r="V72" s="16">
        <v>47</v>
      </c>
      <c r="W72" s="16">
        <f t="shared" si="5"/>
        <v>47</v>
      </c>
      <c r="X72" s="13">
        <f t="shared" si="6"/>
        <v>0</v>
      </c>
      <c r="Y72" s="14">
        <f t="shared" si="11"/>
        <v>0</v>
      </c>
      <c r="Z72" s="14">
        <f t="shared" si="12"/>
        <v>-9.81</v>
      </c>
      <c r="AA72" s="14">
        <f t="shared" si="13"/>
        <v>3.06287113727155E-17</v>
      </c>
      <c r="AB72" s="14">
        <f t="shared" si="14"/>
        <v>0.5</v>
      </c>
      <c r="AC72" s="14">
        <f t="shared" si="15"/>
        <v>3.06287113727155E-17</v>
      </c>
      <c r="AD72" s="14">
        <f t="shared" si="16"/>
        <v>0.5</v>
      </c>
      <c r="AE72" s="8">
        <f t="shared" si="17"/>
        <v>90</v>
      </c>
      <c r="AF72" s="14">
        <f t="shared" si="18"/>
        <v>0</v>
      </c>
      <c r="AG72" s="14">
        <f t="shared" si="19"/>
        <v>10</v>
      </c>
      <c r="AH72" s="25">
        <f t="shared" si="31"/>
        <v>0</v>
      </c>
      <c r="AI72" s="14">
        <f t="shared" si="32"/>
        <v>10</v>
      </c>
      <c r="AJ72" s="14"/>
      <c r="AK72" s="14"/>
      <c r="AL72" s="7"/>
      <c r="AN72" s="14">
        <f t="shared" si="33"/>
        <v>3.06287113727155E-17</v>
      </c>
      <c r="AO72" s="14">
        <f t="shared" si="34"/>
        <v>0.5</v>
      </c>
      <c r="AP72" s="14">
        <f t="shared" si="35"/>
        <v>0.5</v>
      </c>
      <c r="AQ72" s="8">
        <f t="shared" si="7"/>
        <v>9.8225</v>
      </c>
      <c r="AR72" s="8">
        <f t="shared" si="36"/>
        <v>9.81</v>
      </c>
      <c r="AS72" s="8">
        <f t="shared" si="37"/>
        <v>0.0125</v>
      </c>
      <c r="AT72" s="14">
        <f t="shared" si="8"/>
        <v>0</v>
      </c>
      <c r="AU72" s="26">
        <f t="shared" si="22"/>
        <v>0</v>
      </c>
      <c r="AV72" s="26">
        <f t="shared" si="30"/>
        <v>0</v>
      </c>
      <c r="AW72" s="26">
        <f t="shared" si="9"/>
        <v>0</v>
      </c>
      <c r="AX72" s="26">
        <f t="shared" si="38"/>
        <v>0</v>
      </c>
      <c r="AY72" s="26">
        <f t="shared" si="10"/>
        <v>-7.112366251504909E-16</v>
      </c>
    </row>
    <row r="73" spans="22:51" ht="15.75">
      <c r="V73" s="7">
        <v>48</v>
      </c>
      <c r="W73" s="16">
        <f t="shared" si="5"/>
        <v>48</v>
      </c>
      <c r="X73" s="13">
        <f t="shared" si="6"/>
        <v>0</v>
      </c>
      <c r="Y73" s="14">
        <f t="shared" si="11"/>
        <v>0</v>
      </c>
      <c r="Z73" s="14">
        <f t="shared" si="12"/>
        <v>-9.81</v>
      </c>
      <c r="AA73" s="14">
        <f t="shared" si="13"/>
        <v>3.06287113727155E-17</v>
      </c>
      <c r="AB73" s="14">
        <f t="shared" si="14"/>
        <v>0.5</v>
      </c>
      <c r="AC73" s="14">
        <f t="shared" si="15"/>
        <v>3.06287113727155E-17</v>
      </c>
      <c r="AD73" s="14">
        <f t="shared" si="16"/>
        <v>0.5</v>
      </c>
      <c r="AE73" s="8">
        <f t="shared" si="17"/>
        <v>90</v>
      </c>
      <c r="AF73" s="14">
        <f t="shared" si="18"/>
        <v>0</v>
      </c>
      <c r="AG73" s="14">
        <f t="shared" si="19"/>
        <v>10</v>
      </c>
      <c r="AH73" s="25">
        <f t="shared" si="31"/>
        <v>0</v>
      </c>
      <c r="AI73" s="14">
        <f t="shared" si="32"/>
        <v>10</v>
      </c>
      <c r="AJ73" s="14"/>
      <c r="AK73" s="14"/>
      <c r="AL73" s="7"/>
      <c r="AN73" s="14">
        <f t="shared" si="33"/>
        <v>3.06287113727155E-17</v>
      </c>
      <c r="AO73" s="14">
        <f t="shared" si="34"/>
        <v>0.5</v>
      </c>
      <c r="AP73" s="14">
        <f t="shared" si="35"/>
        <v>0.5</v>
      </c>
      <c r="AQ73" s="8">
        <f t="shared" si="7"/>
        <v>9.8225</v>
      </c>
      <c r="AR73" s="8">
        <f t="shared" si="36"/>
        <v>9.81</v>
      </c>
      <c r="AS73" s="8">
        <f t="shared" si="37"/>
        <v>0.0125</v>
      </c>
      <c r="AT73" s="14">
        <f t="shared" si="8"/>
        <v>0</v>
      </c>
      <c r="AU73" s="26">
        <f t="shared" si="22"/>
        <v>0</v>
      </c>
      <c r="AV73" s="26">
        <f t="shared" si="30"/>
        <v>0</v>
      </c>
      <c r="AW73" s="26">
        <f t="shared" si="9"/>
        <v>0</v>
      </c>
      <c r="AX73" s="26">
        <f t="shared" si="38"/>
        <v>0</v>
      </c>
      <c r="AY73" s="26">
        <f t="shared" si="10"/>
        <v>-7.112366251504909E-16</v>
      </c>
    </row>
    <row r="74" spans="22:51" ht="15.75">
      <c r="V74" s="16">
        <v>49</v>
      </c>
      <c r="W74" s="16">
        <f t="shared" si="5"/>
        <v>49</v>
      </c>
      <c r="X74" s="13">
        <f t="shared" si="6"/>
        <v>0</v>
      </c>
      <c r="Y74" s="14">
        <f t="shared" si="11"/>
        <v>0</v>
      </c>
      <c r="Z74" s="14">
        <f t="shared" si="12"/>
        <v>-9.81</v>
      </c>
      <c r="AA74" s="14">
        <f t="shared" si="13"/>
        <v>3.06287113727155E-17</v>
      </c>
      <c r="AB74" s="14">
        <f t="shared" si="14"/>
        <v>0.5</v>
      </c>
      <c r="AC74" s="14">
        <f t="shared" si="15"/>
        <v>3.06287113727155E-17</v>
      </c>
      <c r="AD74" s="14">
        <f t="shared" si="16"/>
        <v>0.5</v>
      </c>
      <c r="AE74" s="8">
        <f t="shared" si="17"/>
        <v>90</v>
      </c>
      <c r="AF74" s="14">
        <f t="shared" si="18"/>
        <v>0</v>
      </c>
      <c r="AG74" s="14">
        <f t="shared" si="19"/>
        <v>10</v>
      </c>
      <c r="AH74" s="25">
        <f t="shared" si="31"/>
        <v>0</v>
      </c>
      <c r="AI74" s="14">
        <f t="shared" si="32"/>
        <v>10</v>
      </c>
      <c r="AJ74" s="14"/>
      <c r="AK74" s="14"/>
      <c r="AL74" s="7"/>
      <c r="AN74" s="14">
        <f t="shared" si="33"/>
        <v>3.06287113727155E-17</v>
      </c>
      <c r="AO74" s="14">
        <f t="shared" si="34"/>
        <v>0.5</v>
      </c>
      <c r="AP74" s="14">
        <f t="shared" si="35"/>
        <v>0.5</v>
      </c>
      <c r="AQ74" s="8">
        <f t="shared" si="7"/>
        <v>9.8225</v>
      </c>
      <c r="AR74" s="8">
        <f t="shared" si="36"/>
        <v>9.81</v>
      </c>
      <c r="AS74" s="8">
        <f t="shared" si="37"/>
        <v>0.0125</v>
      </c>
      <c r="AT74" s="14">
        <f t="shared" si="8"/>
        <v>0</v>
      </c>
      <c r="AU74" s="26">
        <f t="shared" si="22"/>
        <v>0</v>
      </c>
      <c r="AV74" s="26">
        <f t="shared" si="30"/>
        <v>0</v>
      </c>
      <c r="AW74" s="26">
        <f t="shared" si="9"/>
        <v>0</v>
      </c>
      <c r="AX74" s="26">
        <f t="shared" si="38"/>
        <v>0</v>
      </c>
      <c r="AY74" s="26">
        <f t="shared" si="10"/>
        <v>-7.112366251504909E-16</v>
      </c>
    </row>
    <row r="75" spans="22:51" ht="15.75">
      <c r="V75" s="16">
        <v>50</v>
      </c>
      <c r="W75" s="16">
        <f t="shared" si="5"/>
        <v>50</v>
      </c>
      <c r="X75" s="13">
        <f t="shared" si="6"/>
        <v>0</v>
      </c>
      <c r="Y75" s="14">
        <f t="shared" si="11"/>
        <v>0</v>
      </c>
      <c r="Z75" s="14">
        <f t="shared" si="12"/>
        <v>-9.81</v>
      </c>
      <c r="AA75" s="14">
        <f t="shared" si="13"/>
        <v>3.06287113727155E-17</v>
      </c>
      <c r="AB75" s="14">
        <f t="shared" si="14"/>
        <v>0.5</v>
      </c>
      <c r="AC75" s="14">
        <f t="shared" si="15"/>
        <v>3.06287113727155E-17</v>
      </c>
      <c r="AD75" s="14">
        <f t="shared" si="16"/>
        <v>0.5</v>
      </c>
      <c r="AE75" s="8">
        <f t="shared" si="17"/>
        <v>90</v>
      </c>
      <c r="AF75" s="14">
        <f t="shared" si="18"/>
        <v>0</v>
      </c>
      <c r="AG75" s="14">
        <f t="shared" si="19"/>
        <v>10</v>
      </c>
      <c r="AH75" s="25">
        <f t="shared" si="31"/>
        <v>0</v>
      </c>
      <c r="AI75" s="14">
        <f t="shared" si="32"/>
        <v>10</v>
      </c>
      <c r="AJ75" s="14"/>
      <c r="AK75" s="14"/>
      <c r="AL75" s="7"/>
      <c r="AN75" s="14">
        <f t="shared" si="33"/>
        <v>3.06287113727155E-17</v>
      </c>
      <c r="AO75" s="14">
        <f t="shared" si="34"/>
        <v>0.5</v>
      </c>
      <c r="AP75" s="14">
        <f t="shared" si="35"/>
        <v>0.5</v>
      </c>
      <c r="AQ75" s="8">
        <f t="shared" si="7"/>
        <v>9.8225</v>
      </c>
      <c r="AR75" s="8">
        <f t="shared" si="36"/>
        <v>9.81</v>
      </c>
      <c r="AS75" s="8">
        <f t="shared" si="37"/>
        <v>0.0125</v>
      </c>
      <c r="AT75" s="14">
        <f t="shared" si="8"/>
        <v>0</v>
      </c>
      <c r="AU75" s="26">
        <f t="shared" si="22"/>
        <v>0</v>
      </c>
      <c r="AV75" s="26">
        <f t="shared" si="30"/>
        <v>0</v>
      </c>
      <c r="AW75" s="26">
        <f t="shared" si="9"/>
        <v>0</v>
      </c>
      <c r="AX75" s="26">
        <f t="shared" si="38"/>
        <v>0</v>
      </c>
      <c r="AY75" s="26">
        <f t="shared" si="10"/>
        <v>-7.112366251504909E-16</v>
      </c>
    </row>
    <row r="76" spans="22:51" ht="15.75">
      <c r="V76" s="16">
        <v>51</v>
      </c>
      <c r="W76" s="16">
        <f t="shared" si="5"/>
        <v>51</v>
      </c>
      <c r="X76" s="13">
        <f t="shared" si="6"/>
        <v>0</v>
      </c>
      <c r="Y76" s="14">
        <f t="shared" si="11"/>
        <v>0</v>
      </c>
      <c r="Z76" s="14">
        <f t="shared" si="12"/>
        <v>-9.81</v>
      </c>
      <c r="AA76" s="14">
        <f t="shared" si="13"/>
        <v>3.06287113727155E-17</v>
      </c>
      <c r="AB76" s="14">
        <f t="shared" si="14"/>
        <v>0.5</v>
      </c>
      <c r="AC76" s="14">
        <f t="shared" si="15"/>
        <v>3.06287113727155E-17</v>
      </c>
      <c r="AD76" s="14">
        <f t="shared" si="16"/>
        <v>0.5</v>
      </c>
      <c r="AE76" s="8">
        <f t="shared" si="17"/>
        <v>90</v>
      </c>
      <c r="AF76" s="14">
        <f t="shared" si="18"/>
        <v>0</v>
      </c>
      <c r="AG76" s="14">
        <f t="shared" si="19"/>
        <v>10</v>
      </c>
      <c r="AH76" s="25">
        <f t="shared" si="31"/>
        <v>0</v>
      </c>
      <c r="AI76" s="14">
        <f t="shared" si="32"/>
        <v>10</v>
      </c>
      <c r="AJ76" s="14"/>
      <c r="AK76" s="14"/>
      <c r="AL76" s="7"/>
      <c r="AN76" s="14">
        <f t="shared" si="33"/>
        <v>3.06287113727155E-17</v>
      </c>
      <c r="AO76" s="14">
        <f t="shared" si="34"/>
        <v>0.5</v>
      </c>
      <c r="AP76" s="14">
        <f t="shared" si="35"/>
        <v>0.5</v>
      </c>
      <c r="AQ76" s="8">
        <f t="shared" si="7"/>
        <v>9.8225</v>
      </c>
      <c r="AR76" s="8">
        <f t="shared" si="36"/>
        <v>9.81</v>
      </c>
      <c r="AS76" s="8">
        <f t="shared" si="37"/>
        <v>0.0125</v>
      </c>
      <c r="AT76" s="14">
        <f t="shared" si="8"/>
        <v>0</v>
      </c>
      <c r="AU76" s="26">
        <f t="shared" si="22"/>
        <v>0</v>
      </c>
      <c r="AV76" s="26">
        <f t="shared" si="30"/>
        <v>0</v>
      </c>
      <c r="AW76" s="26">
        <f t="shared" si="9"/>
        <v>0</v>
      </c>
      <c r="AX76" s="26">
        <f t="shared" si="38"/>
        <v>0</v>
      </c>
      <c r="AY76" s="26">
        <f t="shared" si="10"/>
        <v>-7.112366251504909E-16</v>
      </c>
    </row>
    <row r="77" spans="22:51" ht="15.75">
      <c r="V77" s="16">
        <v>52</v>
      </c>
      <c r="W77" s="16">
        <f t="shared" si="5"/>
        <v>52</v>
      </c>
      <c r="X77" s="13">
        <f t="shared" si="6"/>
        <v>0</v>
      </c>
      <c r="Y77" s="14">
        <f t="shared" si="11"/>
        <v>0</v>
      </c>
      <c r="Z77" s="14">
        <f t="shared" si="12"/>
        <v>-9.81</v>
      </c>
      <c r="AA77" s="14">
        <f t="shared" si="13"/>
        <v>3.06287113727155E-17</v>
      </c>
      <c r="AB77" s="14">
        <f t="shared" si="14"/>
        <v>0.5</v>
      </c>
      <c r="AC77" s="14">
        <f t="shared" si="15"/>
        <v>3.06287113727155E-17</v>
      </c>
      <c r="AD77" s="14">
        <f t="shared" si="16"/>
        <v>0.5</v>
      </c>
      <c r="AE77" s="8">
        <f t="shared" si="17"/>
        <v>90</v>
      </c>
      <c r="AF77" s="14">
        <f t="shared" si="18"/>
        <v>0</v>
      </c>
      <c r="AG77" s="14">
        <f t="shared" si="19"/>
        <v>10</v>
      </c>
      <c r="AH77" s="25">
        <f t="shared" si="31"/>
        <v>0</v>
      </c>
      <c r="AI77" s="14">
        <f t="shared" si="32"/>
        <v>10</v>
      </c>
      <c r="AJ77" s="14"/>
      <c r="AK77" s="14"/>
      <c r="AL77" s="7"/>
      <c r="AN77" s="14">
        <f t="shared" si="33"/>
        <v>3.06287113727155E-17</v>
      </c>
      <c r="AO77" s="14">
        <f t="shared" si="34"/>
        <v>0.5</v>
      </c>
      <c r="AP77" s="14">
        <f t="shared" si="35"/>
        <v>0.5</v>
      </c>
      <c r="AQ77" s="8">
        <f t="shared" si="7"/>
        <v>9.8225</v>
      </c>
      <c r="AR77" s="8">
        <f t="shared" si="36"/>
        <v>9.81</v>
      </c>
      <c r="AS77" s="8">
        <f t="shared" si="37"/>
        <v>0.0125</v>
      </c>
      <c r="AT77" s="14">
        <f t="shared" si="8"/>
        <v>0</v>
      </c>
      <c r="AU77" s="26">
        <f t="shared" si="22"/>
        <v>0</v>
      </c>
      <c r="AV77" s="26">
        <f t="shared" si="30"/>
        <v>0</v>
      </c>
      <c r="AW77" s="26">
        <f t="shared" si="9"/>
        <v>0</v>
      </c>
      <c r="AX77" s="26">
        <f t="shared" si="38"/>
        <v>0</v>
      </c>
      <c r="AY77" s="26">
        <f t="shared" si="10"/>
        <v>-7.112366251504909E-16</v>
      </c>
    </row>
    <row r="78" spans="22:51" ht="15.75">
      <c r="V78" s="7">
        <v>53</v>
      </c>
      <c r="W78" s="16">
        <f t="shared" si="5"/>
        <v>53</v>
      </c>
      <c r="X78" s="13">
        <f t="shared" si="6"/>
        <v>0</v>
      </c>
      <c r="Y78" s="14">
        <f t="shared" si="11"/>
        <v>0</v>
      </c>
      <c r="Z78" s="14">
        <f t="shared" si="12"/>
        <v>-9.81</v>
      </c>
      <c r="AA78" s="14">
        <f t="shared" si="13"/>
        <v>3.06287113727155E-17</v>
      </c>
      <c r="AB78" s="14">
        <f t="shared" si="14"/>
        <v>0.5</v>
      </c>
      <c r="AC78" s="14">
        <f t="shared" si="15"/>
        <v>3.06287113727155E-17</v>
      </c>
      <c r="AD78" s="14">
        <f t="shared" si="16"/>
        <v>0.5</v>
      </c>
      <c r="AE78" s="8">
        <f t="shared" si="17"/>
        <v>90</v>
      </c>
      <c r="AF78" s="14">
        <f t="shared" si="18"/>
        <v>0</v>
      </c>
      <c r="AG78" s="14">
        <f t="shared" si="19"/>
        <v>10</v>
      </c>
      <c r="AH78" s="25">
        <f t="shared" si="31"/>
        <v>0</v>
      </c>
      <c r="AI78" s="14">
        <f t="shared" si="32"/>
        <v>10</v>
      </c>
      <c r="AJ78" s="14"/>
      <c r="AK78" s="14"/>
      <c r="AL78" s="7"/>
      <c r="AN78" s="14">
        <f t="shared" si="33"/>
        <v>3.06287113727155E-17</v>
      </c>
      <c r="AO78" s="14">
        <f t="shared" si="34"/>
        <v>0.5</v>
      </c>
      <c r="AP78" s="14">
        <f t="shared" si="35"/>
        <v>0.5</v>
      </c>
      <c r="AQ78" s="8">
        <f t="shared" si="7"/>
        <v>9.8225</v>
      </c>
      <c r="AR78" s="8">
        <f t="shared" si="36"/>
        <v>9.81</v>
      </c>
      <c r="AS78" s="8">
        <f t="shared" si="37"/>
        <v>0.0125</v>
      </c>
      <c r="AT78" s="14">
        <f t="shared" si="8"/>
        <v>0</v>
      </c>
      <c r="AU78" s="26">
        <f t="shared" si="22"/>
        <v>0</v>
      </c>
      <c r="AV78" s="26">
        <f t="shared" si="30"/>
        <v>0</v>
      </c>
      <c r="AW78" s="26">
        <f t="shared" si="9"/>
        <v>0</v>
      </c>
      <c r="AX78" s="26">
        <f t="shared" si="38"/>
        <v>0</v>
      </c>
      <c r="AY78" s="26">
        <f t="shared" si="10"/>
        <v>-7.112366251504909E-16</v>
      </c>
    </row>
    <row r="79" spans="22:51" ht="15.75">
      <c r="V79" s="16">
        <v>54</v>
      </c>
      <c r="W79" s="16">
        <f t="shared" si="5"/>
        <v>54</v>
      </c>
      <c r="X79" s="13">
        <f t="shared" si="6"/>
        <v>0</v>
      </c>
      <c r="Y79" s="14">
        <f t="shared" si="11"/>
        <v>0</v>
      </c>
      <c r="Z79" s="14">
        <f t="shared" si="12"/>
        <v>-9.81</v>
      </c>
      <c r="AA79" s="14">
        <f t="shared" si="13"/>
        <v>3.06287113727155E-17</v>
      </c>
      <c r="AB79" s="14">
        <f t="shared" si="14"/>
        <v>0.5</v>
      </c>
      <c r="AC79" s="14">
        <f t="shared" si="15"/>
        <v>3.06287113727155E-17</v>
      </c>
      <c r="AD79" s="14">
        <f t="shared" si="16"/>
        <v>0.5</v>
      </c>
      <c r="AE79" s="8">
        <f t="shared" si="17"/>
        <v>90</v>
      </c>
      <c r="AF79" s="14">
        <f t="shared" si="18"/>
        <v>0</v>
      </c>
      <c r="AG79" s="14">
        <f t="shared" si="19"/>
        <v>10</v>
      </c>
      <c r="AH79" s="25">
        <f t="shared" si="31"/>
        <v>0</v>
      </c>
      <c r="AI79" s="14">
        <f t="shared" si="32"/>
        <v>10</v>
      </c>
      <c r="AJ79" s="14"/>
      <c r="AK79" s="14"/>
      <c r="AL79" s="7"/>
      <c r="AN79" s="14">
        <f t="shared" si="33"/>
        <v>3.06287113727155E-17</v>
      </c>
      <c r="AO79" s="14">
        <f t="shared" si="34"/>
        <v>0.5</v>
      </c>
      <c r="AP79" s="14">
        <f t="shared" si="35"/>
        <v>0.5</v>
      </c>
      <c r="AQ79" s="8">
        <f t="shared" si="7"/>
        <v>9.8225</v>
      </c>
      <c r="AR79" s="8">
        <f t="shared" si="36"/>
        <v>9.81</v>
      </c>
      <c r="AS79" s="8">
        <f t="shared" si="37"/>
        <v>0.0125</v>
      </c>
      <c r="AT79" s="14">
        <f t="shared" si="8"/>
        <v>0</v>
      </c>
      <c r="AU79" s="26">
        <f t="shared" si="22"/>
        <v>0</v>
      </c>
      <c r="AV79" s="26">
        <f t="shared" si="30"/>
        <v>0</v>
      </c>
      <c r="AW79" s="26">
        <f t="shared" si="9"/>
        <v>0</v>
      </c>
      <c r="AX79" s="26">
        <f t="shared" si="38"/>
        <v>0</v>
      </c>
      <c r="AY79" s="26">
        <f t="shared" si="10"/>
        <v>-7.112366251504909E-16</v>
      </c>
    </row>
    <row r="80" spans="22:51" ht="15.75">
      <c r="V80" s="16">
        <v>55</v>
      </c>
      <c r="W80" s="16">
        <f t="shared" si="5"/>
        <v>55</v>
      </c>
      <c r="X80" s="13">
        <f t="shared" si="6"/>
        <v>0</v>
      </c>
      <c r="Y80" s="14">
        <f t="shared" si="11"/>
        <v>0</v>
      </c>
      <c r="Z80" s="14">
        <f t="shared" si="12"/>
        <v>-9.81</v>
      </c>
      <c r="AA80" s="14">
        <f t="shared" si="13"/>
        <v>3.06287113727155E-17</v>
      </c>
      <c r="AB80" s="14">
        <f t="shared" si="14"/>
        <v>0.5</v>
      </c>
      <c r="AC80" s="14">
        <f t="shared" si="15"/>
        <v>3.06287113727155E-17</v>
      </c>
      <c r="AD80" s="14">
        <f t="shared" si="16"/>
        <v>0.5</v>
      </c>
      <c r="AE80" s="8">
        <f t="shared" si="17"/>
        <v>90</v>
      </c>
      <c r="AF80" s="14">
        <f t="shared" si="18"/>
        <v>0</v>
      </c>
      <c r="AG80" s="14">
        <f t="shared" si="19"/>
        <v>10</v>
      </c>
      <c r="AH80" s="25">
        <f t="shared" si="31"/>
        <v>0</v>
      </c>
      <c r="AI80" s="14">
        <f t="shared" si="32"/>
        <v>10</v>
      </c>
      <c r="AJ80" s="14"/>
      <c r="AK80" s="14"/>
      <c r="AL80" s="7"/>
      <c r="AN80" s="14">
        <f t="shared" si="33"/>
        <v>3.06287113727155E-17</v>
      </c>
      <c r="AO80" s="14">
        <f t="shared" si="34"/>
        <v>0.5</v>
      </c>
      <c r="AP80" s="14">
        <f t="shared" si="35"/>
        <v>0.5</v>
      </c>
      <c r="AQ80" s="8">
        <f t="shared" si="7"/>
        <v>9.8225</v>
      </c>
      <c r="AR80" s="8">
        <f t="shared" si="36"/>
        <v>9.81</v>
      </c>
      <c r="AS80" s="8">
        <f t="shared" si="37"/>
        <v>0.0125</v>
      </c>
      <c r="AT80" s="14">
        <f t="shared" si="8"/>
        <v>0</v>
      </c>
      <c r="AU80" s="26">
        <f t="shared" si="22"/>
        <v>0</v>
      </c>
      <c r="AV80" s="26">
        <f t="shared" si="30"/>
        <v>0</v>
      </c>
      <c r="AW80" s="26">
        <f t="shared" si="9"/>
        <v>0</v>
      </c>
      <c r="AX80" s="26">
        <f t="shared" si="38"/>
        <v>0</v>
      </c>
      <c r="AY80" s="26">
        <f t="shared" si="10"/>
        <v>-7.112366251504909E-16</v>
      </c>
    </row>
    <row r="81" spans="22:51" ht="15.75">
      <c r="V81" s="7">
        <v>56</v>
      </c>
      <c r="W81" s="16">
        <f t="shared" si="5"/>
        <v>56</v>
      </c>
      <c r="X81" s="13">
        <f t="shared" si="6"/>
        <v>0</v>
      </c>
      <c r="Y81" s="14">
        <f t="shared" si="11"/>
        <v>0</v>
      </c>
      <c r="Z81" s="14">
        <f t="shared" si="12"/>
        <v>-9.81</v>
      </c>
      <c r="AA81" s="14">
        <f aca="true" t="shared" si="39" ref="AA81:AA115">AA80+Y81*(X81-X80)</f>
        <v>3.06287113727155E-17</v>
      </c>
      <c r="AB81" s="14">
        <f aca="true" t="shared" si="40" ref="AB81:AB115">AB80+Z81*(X81-X80)</f>
        <v>0.5</v>
      </c>
      <c r="AC81" s="14">
        <f aca="true" t="shared" si="41" ref="AC81:AC115">IF(AND(AB81&lt;0,AG81&lt;$N$3),0,AA81)</f>
        <v>3.06287113727155E-17</v>
      </c>
      <c r="AD81" s="14">
        <f aca="true" t="shared" si="42" ref="AD81:AD115">IF(AND(AB81&lt;0,AG81&lt;$N$3),0,AB81)</f>
        <v>0.5</v>
      </c>
      <c r="AE81" s="8">
        <f t="shared" si="17"/>
        <v>90</v>
      </c>
      <c r="AF81" s="14">
        <f aca="true" t="shared" si="43" ref="AF81:AF115">AF80+AA81*(X81-X80)</f>
        <v>0</v>
      </c>
      <c r="AG81" s="14">
        <f aca="true" t="shared" si="44" ref="AG81:AG115">AG80+AB81*(X81-X80)</f>
        <v>10</v>
      </c>
      <c r="AH81" s="25">
        <f aca="true" t="shared" si="45" ref="AH81:AH115">IF(AND(AB81&lt;0,AG81&lt;$N$3),AH80,AF81)</f>
        <v>0</v>
      </c>
      <c r="AI81" s="14">
        <f aca="true" t="shared" si="46" ref="AI81:AI115">IF(AND(AB81&lt;0,AG81&lt;$N$3),$N$3,AG81)</f>
        <v>10</v>
      </c>
      <c r="AJ81" s="14"/>
      <c r="AK81" s="14"/>
      <c r="AL81" s="7"/>
      <c r="AN81" s="14">
        <f aca="true" t="shared" si="47" ref="AN81:AN115">AC81</f>
        <v>3.06287113727155E-17</v>
      </c>
      <c r="AO81" s="14">
        <f aca="true" t="shared" si="48" ref="AO81:AO115">AD81</f>
        <v>0.5</v>
      </c>
      <c r="AP81" s="14">
        <f aca="true" t="shared" si="49" ref="AP81:AP115">SQRT(AN81^2+AO81^2)</f>
        <v>0.5</v>
      </c>
      <c r="AQ81" s="8">
        <f t="shared" si="7"/>
        <v>9.8225</v>
      </c>
      <c r="AR81" s="8">
        <f aca="true" t="shared" si="50" ref="AR81:AR115">$C$4*9.81*AI81</f>
        <v>9.81</v>
      </c>
      <c r="AS81" s="8">
        <f aca="true" t="shared" si="51" ref="AS81:AS115">0.5*$C$4*AP81^2</f>
        <v>0.0125</v>
      </c>
      <c r="AT81" s="14">
        <f t="shared" si="8"/>
        <v>0</v>
      </c>
      <c r="AU81" s="26">
        <f aca="true" t="shared" si="52" ref="AU81:AU115">AP81*(X81-X80)</f>
        <v>0</v>
      </c>
      <c r="AV81" s="26">
        <f t="shared" si="30"/>
        <v>0</v>
      </c>
      <c r="AW81" s="26">
        <f aca="true" t="shared" si="53" ref="AW81:AW115">IF(AS81=0,AQ81-AR81-AV81,0)</f>
        <v>0</v>
      </c>
      <c r="AX81" s="26">
        <f aca="true" t="shared" si="54" ref="AX81:AX115">AV81+AW81</f>
        <v>0</v>
      </c>
      <c r="AY81" s="26">
        <f t="shared" si="10"/>
        <v>-7.112366251504909E-16</v>
      </c>
    </row>
    <row r="82" spans="22:51" ht="15.75">
      <c r="V82" s="16">
        <v>57</v>
      </c>
      <c r="W82" s="16">
        <f t="shared" si="5"/>
        <v>57</v>
      </c>
      <c r="X82" s="13">
        <f t="shared" si="6"/>
        <v>0</v>
      </c>
      <c r="Y82" s="14">
        <f t="shared" si="11"/>
        <v>0</v>
      </c>
      <c r="Z82" s="14">
        <f t="shared" si="12"/>
        <v>-9.81</v>
      </c>
      <c r="AA82" s="14">
        <f t="shared" si="39"/>
        <v>3.06287113727155E-17</v>
      </c>
      <c r="AB82" s="14">
        <f t="shared" si="40"/>
        <v>0.5</v>
      </c>
      <c r="AC82" s="14">
        <f t="shared" si="41"/>
        <v>3.06287113727155E-17</v>
      </c>
      <c r="AD82" s="14">
        <f t="shared" si="42"/>
        <v>0.5</v>
      </c>
      <c r="AE82" s="8">
        <f t="shared" si="17"/>
        <v>90</v>
      </c>
      <c r="AF82" s="14">
        <f t="shared" si="43"/>
        <v>0</v>
      </c>
      <c r="AG82" s="14">
        <f t="shared" si="44"/>
        <v>10</v>
      </c>
      <c r="AH82" s="25">
        <f t="shared" si="45"/>
        <v>0</v>
      </c>
      <c r="AI82" s="14">
        <f t="shared" si="46"/>
        <v>10</v>
      </c>
      <c r="AJ82" s="14"/>
      <c r="AK82" s="14"/>
      <c r="AL82" s="7"/>
      <c r="AN82" s="14">
        <f t="shared" si="47"/>
        <v>3.06287113727155E-17</v>
      </c>
      <c r="AO82" s="14">
        <f t="shared" si="48"/>
        <v>0.5</v>
      </c>
      <c r="AP82" s="14">
        <f t="shared" si="49"/>
        <v>0.5</v>
      </c>
      <c r="AQ82" s="8">
        <f t="shared" si="7"/>
        <v>9.8225</v>
      </c>
      <c r="AR82" s="8">
        <f t="shared" si="50"/>
        <v>9.81</v>
      </c>
      <c r="AS82" s="8">
        <f t="shared" si="51"/>
        <v>0.0125</v>
      </c>
      <c r="AT82" s="14">
        <f t="shared" si="8"/>
        <v>0</v>
      </c>
      <c r="AU82" s="26">
        <f t="shared" si="52"/>
        <v>0</v>
      </c>
      <c r="AV82" s="26">
        <f t="shared" si="30"/>
        <v>0</v>
      </c>
      <c r="AW82" s="26">
        <f t="shared" si="53"/>
        <v>0</v>
      </c>
      <c r="AX82" s="26">
        <f t="shared" si="54"/>
        <v>0</v>
      </c>
      <c r="AY82" s="26">
        <f t="shared" si="10"/>
        <v>-7.112366251504909E-16</v>
      </c>
    </row>
    <row r="83" spans="22:51" ht="15.75">
      <c r="V83" s="16">
        <v>58</v>
      </c>
      <c r="W83" s="16">
        <f t="shared" si="5"/>
        <v>58</v>
      </c>
      <c r="X83" s="13">
        <f t="shared" si="6"/>
        <v>0</v>
      </c>
      <c r="Y83" s="14">
        <f t="shared" si="11"/>
        <v>0</v>
      </c>
      <c r="Z83" s="14">
        <f t="shared" si="12"/>
        <v>-9.81</v>
      </c>
      <c r="AA83" s="14">
        <f t="shared" si="39"/>
        <v>3.06287113727155E-17</v>
      </c>
      <c r="AB83" s="14">
        <f t="shared" si="40"/>
        <v>0.5</v>
      </c>
      <c r="AC83" s="14">
        <f t="shared" si="41"/>
        <v>3.06287113727155E-17</v>
      </c>
      <c r="AD83" s="14">
        <f t="shared" si="42"/>
        <v>0.5</v>
      </c>
      <c r="AE83" s="8">
        <f t="shared" si="17"/>
        <v>90</v>
      </c>
      <c r="AF83" s="14">
        <f t="shared" si="43"/>
        <v>0</v>
      </c>
      <c r="AG83" s="14">
        <f t="shared" si="44"/>
        <v>10</v>
      </c>
      <c r="AH83" s="25">
        <f t="shared" si="45"/>
        <v>0</v>
      </c>
      <c r="AI83" s="14">
        <f t="shared" si="46"/>
        <v>10</v>
      </c>
      <c r="AJ83" s="14"/>
      <c r="AK83" s="14"/>
      <c r="AL83" s="7"/>
      <c r="AN83" s="14">
        <f t="shared" si="47"/>
        <v>3.06287113727155E-17</v>
      </c>
      <c r="AO83" s="14">
        <f t="shared" si="48"/>
        <v>0.5</v>
      </c>
      <c r="AP83" s="14">
        <f t="shared" si="49"/>
        <v>0.5</v>
      </c>
      <c r="AQ83" s="8">
        <f t="shared" si="7"/>
        <v>9.8225</v>
      </c>
      <c r="AR83" s="8">
        <f t="shared" si="50"/>
        <v>9.81</v>
      </c>
      <c r="AS83" s="8">
        <f t="shared" si="51"/>
        <v>0.0125</v>
      </c>
      <c r="AT83" s="14">
        <f t="shared" si="8"/>
        <v>0</v>
      </c>
      <c r="AU83" s="26">
        <f t="shared" si="52"/>
        <v>0</v>
      </c>
      <c r="AV83" s="26">
        <f t="shared" si="30"/>
        <v>0</v>
      </c>
      <c r="AW83" s="26">
        <f t="shared" si="53"/>
        <v>0</v>
      </c>
      <c r="AX83" s="26">
        <f t="shared" si="54"/>
        <v>0</v>
      </c>
      <c r="AY83" s="26">
        <f t="shared" si="10"/>
        <v>-7.112366251504909E-16</v>
      </c>
    </row>
    <row r="84" spans="22:51" ht="15.75">
      <c r="V84" s="7">
        <v>59</v>
      </c>
      <c r="W84" s="16">
        <f t="shared" si="5"/>
        <v>59</v>
      </c>
      <c r="X84" s="13">
        <f t="shared" si="6"/>
        <v>0</v>
      </c>
      <c r="Y84" s="14">
        <f t="shared" si="11"/>
        <v>0</v>
      </c>
      <c r="Z84" s="14">
        <f t="shared" si="12"/>
        <v>-9.81</v>
      </c>
      <c r="AA84" s="14">
        <f t="shared" si="39"/>
        <v>3.06287113727155E-17</v>
      </c>
      <c r="AB84" s="14">
        <f t="shared" si="40"/>
        <v>0.5</v>
      </c>
      <c r="AC84" s="14">
        <f t="shared" si="41"/>
        <v>3.06287113727155E-17</v>
      </c>
      <c r="AD84" s="14">
        <f t="shared" si="42"/>
        <v>0.5</v>
      </c>
      <c r="AE84" s="8">
        <f t="shared" si="17"/>
        <v>90</v>
      </c>
      <c r="AF84" s="14">
        <f t="shared" si="43"/>
        <v>0</v>
      </c>
      <c r="AG84" s="14">
        <f t="shared" si="44"/>
        <v>10</v>
      </c>
      <c r="AH84" s="25">
        <f t="shared" si="45"/>
        <v>0</v>
      </c>
      <c r="AI84" s="14">
        <f t="shared" si="46"/>
        <v>10</v>
      </c>
      <c r="AJ84" s="14"/>
      <c r="AK84" s="14"/>
      <c r="AL84" s="7"/>
      <c r="AN84" s="14">
        <f t="shared" si="47"/>
        <v>3.06287113727155E-17</v>
      </c>
      <c r="AO84" s="14">
        <f t="shared" si="48"/>
        <v>0.5</v>
      </c>
      <c r="AP84" s="14">
        <f t="shared" si="49"/>
        <v>0.5</v>
      </c>
      <c r="AQ84" s="8">
        <f t="shared" si="7"/>
        <v>9.8225</v>
      </c>
      <c r="AR84" s="8">
        <f t="shared" si="50"/>
        <v>9.81</v>
      </c>
      <c r="AS84" s="8">
        <f t="shared" si="51"/>
        <v>0.0125</v>
      </c>
      <c r="AT84" s="14">
        <f t="shared" si="8"/>
        <v>0</v>
      </c>
      <c r="AU84" s="26">
        <f t="shared" si="52"/>
        <v>0</v>
      </c>
      <c r="AV84" s="26">
        <f t="shared" si="30"/>
        <v>0</v>
      </c>
      <c r="AW84" s="26">
        <f t="shared" si="53"/>
        <v>0</v>
      </c>
      <c r="AX84" s="26">
        <f t="shared" si="54"/>
        <v>0</v>
      </c>
      <c r="AY84" s="26">
        <f t="shared" si="10"/>
        <v>-7.112366251504909E-16</v>
      </c>
    </row>
    <row r="85" spans="22:51" ht="15.75">
      <c r="V85" s="16">
        <v>60</v>
      </c>
      <c r="W85" s="16">
        <f t="shared" si="5"/>
        <v>60</v>
      </c>
      <c r="X85" s="13">
        <f t="shared" si="6"/>
        <v>0</v>
      </c>
      <c r="Y85" s="14">
        <f t="shared" si="11"/>
        <v>0</v>
      </c>
      <c r="Z85" s="14">
        <f t="shared" si="12"/>
        <v>-9.81</v>
      </c>
      <c r="AA85" s="14">
        <f t="shared" si="39"/>
        <v>3.06287113727155E-17</v>
      </c>
      <c r="AB85" s="14">
        <f t="shared" si="40"/>
        <v>0.5</v>
      </c>
      <c r="AC85" s="14">
        <f t="shared" si="41"/>
        <v>3.06287113727155E-17</v>
      </c>
      <c r="AD85" s="14">
        <f t="shared" si="42"/>
        <v>0.5</v>
      </c>
      <c r="AE85" s="8">
        <f t="shared" si="17"/>
        <v>90</v>
      </c>
      <c r="AF85" s="14">
        <f t="shared" si="43"/>
        <v>0</v>
      </c>
      <c r="AG85" s="14">
        <f t="shared" si="44"/>
        <v>10</v>
      </c>
      <c r="AH85" s="25">
        <f t="shared" si="45"/>
        <v>0</v>
      </c>
      <c r="AI85" s="14">
        <f t="shared" si="46"/>
        <v>10</v>
      </c>
      <c r="AJ85" s="14"/>
      <c r="AK85" s="14"/>
      <c r="AL85" s="7"/>
      <c r="AN85" s="14">
        <f t="shared" si="47"/>
        <v>3.06287113727155E-17</v>
      </c>
      <c r="AO85" s="14">
        <f t="shared" si="48"/>
        <v>0.5</v>
      </c>
      <c r="AP85" s="14">
        <f t="shared" si="49"/>
        <v>0.5</v>
      </c>
      <c r="AQ85" s="8">
        <f t="shared" si="7"/>
        <v>9.8225</v>
      </c>
      <c r="AR85" s="8">
        <f t="shared" si="50"/>
        <v>9.81</v>
      </c>
      <c r="AS85" s="8">
        <f t="shared" si="51"/>
        <v>0.0125</v>
      </c>
      <c r="AT85" s="14">
        <f t="shared" si="8"/>
        <v>0</v>
      </c>
      <c r="AU85" s="26">
        <f t="shared" si="52"/>
        <v>0</v>
      </c>
      <c r="AV85" s="26">
        <f t="shared" si="30"/>
        <v>0</v>
      </c>
      <c r="AW85" s="26">
        <f t="shared" si="53"/>
        <v>0</v>
      </c>
      <c r="AX85" s="26">
        <f t="shared" si="54"/>
        <v>0</v>
      </c>
      <c r="AY85" s="26">
        <f t="shared" si="10"/>
        <v>-7.112366251504909E-16</v>
      </c>
    </row>
    <row r="86" spans="22:51" ht="15.75">
      <c r="V86" s="16">
        <v>61</v>
      </c>
      <c r="W86" s="16">
        <f t="shared" si="5"/>
        <v>61</v>
      </c>
      <c r="X86" s="13">
        <f t="shared" si="6"/>
        <v>0</v>
      </c>
      <c r="Y86" s="14">
        <f t="shared" si="11"/>
        <v>0</v>
      </c>
      <c r="Z86" s="14">
        <f t="shared" si="12"/>
        <v>-9.81</v>
      </c>
      <c r="AA86" s="14">
        <f t="shared" si="39"/>
        <v>3.06287113727155E-17</v>
      </c>
      <c r="AB86" s="14">
        <f t="shared" si="40"/>
        <v>0.5</v>
      </c>
      <c r="AC86" s="14">
        <f t="shared" si="41"/>
        <v>3.06287113727155E-17</v>
      </c>
      <c r="AD86" s="14">
        <f t="shared" si="42"/>
        <v>0.5</v>
      </c>
      <c r="AE86" s="8">
        <f t="shared" si="17"/>
        <v>90</v>
      </c>
      <c r="AF86" s="14">
        <f t="shared" si="43"/>
        <v>0</v>
      </c>
      <c r="AG86" s="14">
        <f t="shared" si="44"/>
        <v>10</v>
      </c>
      <c r="AH86" s="25">
        <f t="shared" si="45"/>
        <v>0</v>
      </c>
      <c r="AI86" s="14">
        <f t="shared" si="46"/>
        <v>10</v>
      </c>
      <c r="AJ86" s="14"/>
      <c r="AK86" s="14"/>
      <c r="AL86" s="7"/>
      <c r="AN86" s="14">
        <f t="shared" si="47"/>
        <v>3.06287113727155E-17</v>
      </c>
      <c r="AO86" s="14">
        <f t="shared" si="48"/>
        <v>0.5</v>
      </c>
      <c r="AP86" s="14">
        <f t="shared" si="49"/>
        <v>0.5</v>
      </c>
      <c r="AQ86" s="8">
        <f t="shared" si="7"/>
        <v>9.8225</v>
      </c>
      <c r="AR86" s="8">
        <f t="shared" si="50"/>
        <v>9.81</v>
      </c>
      <c r="AS86" s="8">
        <f t="shared" si="51"/>
        <v>0.0125</v>
      </c>
      <c r="AT86" s="14">
        <f t="shared" si="8"/>
        <v>0</v>
      </c>
      <c r="AU86" s="26">
        <f t="shared" si="52"/>
        <v>0</v>
      </c>
      <c r="AV86" s="26">
        <f t="shared" si="30"/>
        <v>0</v>
      </c>
      <c r="AW86" s="26">
        <f t="shared" si="53"/>
        <v>0</v>
      </c>
      <c r="AX86" s="26">
        <f t="shared" si="54"/>
        <v>0</v>
      </c>
      <c r="AY86" s="26">
        <f t="shared" si="10"/>
        <v>-7.112366251504909E-16</v>
      </c>
    </row>
    <row r="87" spans="22:51" ht="15.75">
      <c r="V87" s="7">
        <v>62</v>
      </c>
      <c r="W87" s="16">
        <f t="shared" si="5"/>
        <v>62</v>
      </c>
      <c r="X87" s="13">
        <f t="shared" si="6"/>
        <v>0</v>
      </c>
      <c r="Y87" s="14">
        <f t="shared" si="11"/>
        <v>0</v>
      </c>
      <c r="Z87" s="14">
        <f t="shared" si="12"/>
        <v>-9.81</v>
      </c>
      <c r="AA87" s="14">
        <f t="shared" si="39"/>
        <v>3.06287113727155E-17</v>
      </c>
      <c r="AB87" s="14">
        <f t="shared" si="40"/>
        <v>0.5</v>
      </c>
      <c r="AC87" s="14">
        <f t="shared" si="41"/>
        <v>3.06287113727155E-17</v>
      </c>
      <c r="AD87" s="14">
        <f t="shared" si="42"/>
        <v>0.5</v>
      </c>
      <c r="AE87" s="8">
        <f t="shared" si="17"/>
        <v>90</v>
      </c>
      <c r="AF87" s="14">
        <f t="shared" si="43"/>
        <v>0</v>
      </c>
      <c r="AG87" s="14">
        <f t="shared" si="44"/>
        <v>10</v>
      </c>
      <c r="AH87" s="25">
        <f t="shared" si="45"/>
        <v>0</v>
      </c>
      <c r="AI87" s="14">
        <f t="shared" si="46"/>
        <v>10</v>
      </c>
      <c r="AJ87" s="14"/>
      <c r="AK87" s="14"/>
      <c r="AL87" s="7"/>
      <c r="AN87" s="14">
        <f t="shared" si="47"/>
        <v>3.06287113727155E-17</v>
      </c>
      <c r="AO87" s="14">
        <f t="shared" si="48"/>
        <v>0.5</v>
      </c>
      <c r="AP87" s="14">
        <f t="shared" si="49"/>
        <v>0.5</v>
      </c>
      <c r="AQ87" s="8">
        <f t="shared" si="7"/>
        <v>9.8225</v>
      </c>
      <c r="AR87" s="8">
        <f t="shared" si="50"/>
        <v>9.81</v>
      </c>
      <c r="AS87" s="8">
        <f t="shared" si="51"/>
        <v>0.0125</v>
      </c>
      <c r="AT87" s="14">
        <f t="shared" si="8"/>
        <v>0</v>
      </c>
      <c r="AU87" s="26">
        <f t="shared" si="52"/>
        <v>0</v>
      </c>
      <c r="AV87" s="26">
        <f t="shared" si="30"/>
        <v>0</v>
      </c>
      <c r="AW87" s="26">
        <f t="shared" si="53"/>
        <v>0</v>
      </c>
      <c r="AX87" s="26">
        <f t="shared" si="54"/>
        <v>0</v>
      </c>
      <c r="AY87" s="26">
        <f t="shared" si="10"/>
        <v>-7.112366251504909E-16</v>
      </c>
    </row>
    <row r="88" spans="22:51" ht="15.75">
      <c r="V88" s="16">
        <v>63</v>
      </c>
      <c r="W88" s="16">
        <f t="shared" si="5"/>
        <v>63</v>
      </c>
      <c r="X88" s="13">
        <f t="shared" si="6"/>
        <v>0</v>
      </c>
      <c r="Y88" s="14">
        <f t="shared" si="11"/>
        <v>0</v>
      </c>
      <c r="Z88" s="14">
        <f t="shared" si="12"/>
        <v>-9.81</v>
      </c>
      <c r="AA88" s="14">
        <f t="shared" si="39"/>
        <v>3.06287113727155E-17</v>
      </c>
      <c r="AB88" s="14">
        <f t="shared" si="40"/>
        <v>0.5</v>
      </c>
      <c r="AC88" s="14">
        <f t="shared" si="41"/>
        <v>3.06287113727155E-17</v>
      </c>
      <c r="AD88" s="14">
        <f t="shared" si="42"/>
        <v>0.5</v>
      </c>
      <c r="AE88" s="8">
        <f t="shared" si="17"/>
        <v>90</v>
      </c>
      <c r="AF88" s="14">
        <f t="shared" si="43"/>
        <v>0</v>
      </c>
      <c r="AG88" s="14">
        <f t="shared" si="44"/>
        <v>10</v>
      </c>
      <c r="AH88" s="25">
        <f t="shared" si="45"/>
        <v>0</v>
      </c>
      <c r="AI88" s="14">
        <f t="shared" si="46"/>
        <v>10</v>
      </c>
      <c r="AJ88" s="14"/>
      <c r="AK88" s="14"/>
      <c r="AL88" s="7"/>
      <c r="AN88" s="14">
        <f t="shared" si="47"/>
        <v>3.06287113727155E-17</v>
      </c>
      <c r="AO88" s="14">
        <f t="shared" si="48"/>
        <v>0.5</v>
      </c>
      <c r="AP88" s="14">
        <f t="shared" si="49"/>
        <v>0.5</v>
      </c>
      <c r="AQ88" s="8">
        <f t="shared" si="7"/>
        <v>9.8225</v>
      </c>
      <c r="AR88" s="8">
        <f t="shared" si="50"/>
        <v>9.81</v>
      </c>
      <c r="AS88" s="8">
        <f t="shared" si="51"/>
        <v>0.0125</v>
      </c>
      <c r="AT88" s="14">
        <f t="shared" si="8"/>
        <v>0</v>
      </c>
      <c r="AU88" s="26">
        <f t="shared" si="52"/>
        <v>0</v>
      </c>
      <c r="AV88" s="26">
        <f t="shared" si="30"/>
        <v>0</v>
      </c>
      <c r="AW88" s="26">
        <f t="shared" si="53"/>
        <v>0</v>
      </c>
      <c r="AX88" s="26">
        <f t="shared" si="54"/>
        <v>0</v>
      </c>
      <c r="AY88" s="26">
        <f t="shared" si="10"/>
        <v>-7.112366251504909E-16</v>
      </c>
    </row>
    <row r="89" spans="22:51" ht="15.75">
      <c r="V89" s="16">
        <v>64</v>
      </c>
      <c r="W89" s="16">
        <f aca="true" t="shared" si="55" ref="W89:W125">MIN(V89,$P$5)</f>
        <v>64</v>
      </c>
      <c r="X89" s="13">
        <f t="shared" si="6"/>
        <v>0</v>
      </c>
      <c r="Y89" s="14">
        <f t="shared" si="11"/>
        <v>0</v>
      </c>
      <c r="Z89" s="14">
        <f t="shared" si="12"/>
        <v>-9.81</v>
      </c>
      <c r="AA89" s="14">
        <f t="shared" si="39"/>
        <v>3.06287113727155E-17</v>
      </c>
      <c r="AB89" s="14">
        <f t="shared" si="40"/>
        <v>0.5</v>
      </c>
      <c r="AC89" s="14">
        <f t="shared" si="41"/>
        <v>3.06287113727155E-17</v>
      </c>
      <c r="AD89" s="14">
        <f t="shared" si="42"/>
        <v>0.5</v>
      </c>
      <c r="AE89" s="8">
        <f t="shared" si="17"/>
        <v>90</v>
      </c>
      <c r="AF89" s="14">
        <f t="shared" si="43"/>
        <v>0</v>
      </c>
      <c r="AG89" s="14">
        <f t="shared" si="44"/>
        <v>10</v>
      </c>
      <c r="AH89" s="25">
        <f t="shared" si="45"/>
        <v>0</v>
      </c>
      <c r="AI89" s="14">
        <f t="shared" si="46"/>
        <v>10</v>
      </c>
      <c r="AJ89" s="14"/>
      <c r="AK89" s="14"/>
      <c r="AL89" s="7"/>
      <c r="AN89" s="14">
        <f t="shared" si="47"/>
        <v>3.06287113727155E-17</v>
      </c>
      <c r="AO89" s="14">
        <f t="shared" si="48"/>
        <v>0.5</v>
      </c>
      <c r="AP89" s="14">
        <f t="shared" si="49"/>
        <v>0.5</v>
      </c>
      <c r="AQ89" s="8">
        <f t="shared" si="7"/>
        <v>9.8225</v>
      </c>
      <c r="AR89" s="8">
        <f t="shared" si="50"/>
        <v>9.81</v>
      </c>
      <c r="AS89" s="8">
        <f t="shared" si="51"/>
        <v>0.0125</v>
      </c>
      <c r="AT89" s="14">
        <f t="shared" si="8"/>
        <v>0</v>
      </c>
      <c r="AU89" s="26">
        <f t="shared" si="52"/>
        <v>0</v>
      </c>
      <c r="AV89" s="26">
        <f t="shared" si="30"/>
        <v>0</v>
      </c>
      <c r="AW89" s="26">
        <f t="shared" si="53"/>
        <v>0</v>
      </c>
      <c r="AX89" s="26">
        <f t="shared" si="54"/>
        <v>0</v>
      </c>
      <c r="AY89" s="26">
        <f t="shared" si="10"/>
        <v>-7.112366251504909E-16</v>
      </c>
    </row>
    <row r="90" spans="22:51" ht="15.75">
      <c r="V90" s="7">
        <v>65</v>
      </c>
      <c r="W90" s="16">
        <f t="shared" si="55"/>
        <v>65</v>
      </c>
      <c r="X90" s="13">
        <f aca="true" t="shared" si="56" ref="X90:X125">MIN(V90*$W$23,$W$15)</f>
        <v>0</v>
      </c>
      <c r="Y90" s="14">
        <f t="shared" si="11"/>
        <v>0</v>
      </c>
      <c r="Z90" s="14">
        <f t="shared" si="12"/>
        <v>-9.81</v>
      </c>
      <c r="AA90" s="14">
        <f t="shared" si="39"/>
        <v>3.06287113727155E-17</v>
      </c>
      <c r="AB90" s="14">
        <f t="shared" si="40"/>
        <v>0.5</v>
      </c>
      <c r="AC90" s="14">
        <f t="shared" si="41"/>
        <v>3.06287113727155E-17</v>
      </c>
      <c r="AD90" s="14">
        <f t="shared" si="42"/>
        <v>0.5</v>
      </c>
      <c r="AE90" s="8">
        <f t="shared" si="17"/>
        <v>90</v>
      </c>
      <c r="AF90" s="14">
        <f t="shared" si="43"/>
        <v>0</v>
      </c>
      <c r="AG90" s="14">
        <f t="shared" si="44"/>
        <v>10</v>
      </c>
      <c r="AH90" s="25">
        <f t="shared" si="45"/>
        <v>0</v>
      </c>
      <c r="AI90" s="14">
        <f t="shared" si="46"/>
        <v>10</v>
      </c>
      <c r="AJ90" s="14"/>
      <c r="AK90" s="14"/>
      <c r="AL90" s="7"/>
      <c r="AN90" s="14">
        <f t="shared" si="47"/>
        <v>3.06287113727155E-17</v>
      </c>
      <c r="AO90" s="14">
        <f t="shared" si="48"/>
        <v>0.5</v>
      </c>
      <c r="AP90" s="14">
        <f t="shared" si="49"/>
        <v>0.5</v>
      </c>
      <c r="AQ90" s="8">
        <f aca="true" t="shared" si="57" ref="AQ90:AQ125">0.5*$C$4*$H$4^2+$C$4*9.81*$H$3</f>
        <v>9.8225</v>
      </c>
      <c r="AR90" s="8">
        <f t="shared" si="50"/>
        <v>9.81</v>
      </c>
      <c r="AS90" s="8">
        <f t="shared" si="51"/>
        <v>0.0125</v>
      </c>
      <c r="AT90" s="14">
        <f aca="true" t="shared" si="58" ref="AT90:AT115">$W$14*AP90^2</f>
        <v>0</v>
      </c>
      <c r="AU90" s="26">
        <f t="shared" si="52"/>
        <v>0</v>
      </c>
      <c r="AV90" s="26">
        <f t="shared" si="30"/>
        <v>0</v>
      </c>
      <c r="AW90" s="26">
        <f t="shared" si="53"/>
        <v>0</v>
      </c>
      <c r="AX90" s="26">
        <f t="shared" si="54"/>
        <v>0</v>
      </c>
      <c r="AY90" s="26">
        <f aca="true" t="shared" si="59" ref="AY90:AY115">AQ90-AR90-AS90</f>
        <v>-7.112366251504909E-16</v>
      </c>
    </row>
    <row r="91" spans="22:51" ht="15.75">
      <c r="V91" s="16">
        <v>66</v>
      </c>
      <c r="W91" s="16">
        <f t="shared" si="55"/>
        <v>66</v>
      </c>
      <c r="X91" s="13">
        <f t="shared" si="56"/>
        <v>0</v>
      </c>
      <c r="Y91" s="14">
        <f aca="true" t="shared" si="60" ref="Y91:Y115">-$W$14*(AA90^2+AB90^2)/$C$4*COS(AE90/180*PI())</f>
        <v>0</v>
      </c>
      <c r="Z91" s="14">
        <f aca="true" t="shared" si="61" ref="Z91:Z115">-9.81-$W$14*(AA90^2+AB90^2)/$C$4*SIN(AE90/180*PI())</f>
        <v>-9.81</v>
      </c>
      <c r="AA91" s="14">
        <f t="shared" si="39"/>
        <v>3.06287113727155E-17</v>
      </c>
      <c r="AB91" s="14">
        <f t="shared" si="40"/>
        <v>0.5</v>
      </c>
      <c r="AC91" s="14">
        <f t="shared" si="41"/>
        <v>3.06287113727155E-17</v>
      </c>
      <c r="AD91" s="14">
        <f t="shared" si="42"/>
        <v>0.5</v>
      </c>
      <c r="AE91" s="8">
        <f aca="true" t="shared" si="62" ref="AE91:AE115">ATAN(AB91/AA91)/PI()*180</f>
        <v>90</v>
      </c>
      <c r="AF91" s="14">
        <f t="shared" si="43"/>
        <v>0</v>
      </c>
      <c r="AG91" s="14">
        <f t="shared" si="44"/>
        <v>10</v>
      </c>
      <c r="AH91" s="25">
        <f t="shared" si="45"/>
        <v>0</v>
      </c>
      <c r="AI91" s="14">
        <f t="shared" si="46"/>
        <v>10</v>
      </c>
      <c r="AJ91" s="14"/>
      <c r="AK91" s="14"/>
      <c r="AL91" s="7"/>
      <c r="AN91" s="14">
        <f t="shared" si="47"/>
        <v>3.06287113727155E-17</v>
      </c>
      <c r="AO91" s="14">
        <f t="shared" si="48"/>
        <v>0.5</v>
      </c>
      <c r="AP91" s="14">
        <f t="shared" si="49"/>
        <v>0.5</v>
      </c>
      <c r="AQ91" s="8">
        <f t="shared" si="57"/>
        <v>9.8225</v>
      </c>
      <c r="AR91" s="8">
        <f t="shared" si="50"/>
        <v>9.81</v>
      </c>
      <c r="AS91" s="8">
        <f t="shared" si="51"/>
        <v>0.0125</v>
      </c>
      <c r="AT91" s="14">
        <f t="shared" si="58"/>
        <v>0</v>
      </c>
      <c r="AU91" s="26">
        <f t="shared" si="52"/>
        <v>0</v>
      </c>
      <c r="AV91" s="26">
        <f aca="true" t="shared" si="63" ref="AV91:AV115">AV90+AT91*AU91</f>
        <v>0</v>
      </c>
      <c r="AW91" s="26">
        <f t="shared" si="53"/>
        <v>0</v>
      </c>
      <c r="AX91" s="26">
        <f t="shared" si="54"/>
        <v>0</v>
      </c>
      <c r="AY91" s="26">
        <f t="shared" si="59"/>
        <v>-7.112366251504909E-16</v>
      </c>
    </row>
    <row r="92" spans="22:51" ht="15.75">
      <c r="V92" s="16">
        <v>67</v>
      </c>
      <c r="W92" s="16">
        <f t="shared" si="55"/>
        <v>67</v>
      </c>
      <c r="X92" s="13">
        <f t="shared" si="56"/>
        <v>0</v>
      </c>
      <c r="Y92" s="14">
        <f t="shared" si="60"/>
        <v>0</v>
      </c>
      <c r="Z92" s="14">
        <f t="shared" si="61"/>
        <v>-9.81</v>
      </c>
      <c r="AA92" s="14">
        <f t="shared" si="39"/>
        <v>3.06287113727155E-17</v>
      </c>
      <c r="AB92" s="14">
        <f t="shared" si="40"/>
        <v>0.5</v>
      </c>
      <c r="AC92" s="14">
        <f t="shared" si="41"/>
        <v>3.06287113727155E-17</v>
      </c>
      <c r="AD92" s="14">
        <f t="shared" si="42"/>
        <v>0.5</v>
      </c>
      <c r="AE92" s="8">
        <f t="shared" si="62"/>
        <v>90</v>
      </c>
      <c r="AF92" s="14">
        <f t="shared" si="43"/>
        <v>0</v>
      </c>
      <c r="AG92" s="14">
        <f t="shared" si="44"/>
        <v>10</v>
      </c>
      <c r="AH92" s="25">
        <f t="shared" si="45"/>
        <v>0</v>
      </c>
      <c r="AI92" s="14">
        <f t="shared" si="46"/>
        <v>10</v>
      </c>
      <c r="AJ92" s="14"/>
      <c r="AK92" s="14"/>
      <c r="AL92" s="7"/>
      <c r="AN92" s="14">
        <f t="shared" si="47"/>
        <v>3.06287113727155E-17</v>
      </c>
      <c r="AO92" s="14">
        <f t="shared" si="48"/>
        <v>0.5</v>
      </c>
      <c r="AP92" s="14">
        <f t="shared" si="49"/>
        <v>0.5</v>
      </c>
      <c r="AQ92" s="8">
        <f t="shared" si="57"/>
        <v>9.8225</v>
      </c>
      <c r="AR92" s="8">
        <f t="shared" si="50"/>
        <v>9.81</v>
      </c>
      <c r="AS92" s="8">
        <f t="shared" si="51"/>
        <v>0.0125</v>
      </c>
      <c r="AT92" s="14">
        <f t="shared" si="58"/>
        <v>0</v>
      </c>
      <c r="AU92" s="26">
        <f t="shared" si="52"/>
        <v>0</v>
      </c>
      <c r="AV92" s="26">
        <f t="shared" si="63"/>
        <v>0</v>
      </c>
      <c r="AW92" s="26">
        <f t="shared" si="53"/>
        <v>0</v>
      </c>
      <c r="AX92" s="26">
        <f t="shared" si="54"/>
        <v>0</v>
      </c>
      <c r="AY92" s="26">
        <f t="shared" si="59"/>
        <v>-7.112366251504909E-16</v>
      </c>
    </row>
    <row r="93" spans="22:51" ht="15.75">
      <c r="V93" s="7">
        <v>68</v>
      </c>
      <c r="W93" s="16">
        <f t="shared" si="55"/>
        <v>68</v>
      </c>
      <c r="X93" s="13">
        <f t="shared" si="56"/>
        <v>0</v>
      </c>
      <c r="Y93" s="14">
        <f t="shared" si="60"/>
        <v>0</v>
      </c>
      <c r="Z93" s="14">
        <f t="shared" si="61"/>
        <v>-9.81</v>
      </c>
      <c r="AA93" s="14">
        <f t="shared" si="39"/>
        <v>3.06287113727155E-17</v>
      </c>
      <c r="AB93" s="14">
        <f t="shared" si="40"/>
        <v>0.5</v>
      </c>
      <c r="AC93" s="14">
        <f t="shared" si="41"/>
        <v>3.06287113727155E-17</v>
      </c>
      <c r="AD93" s="14">
        <f t="shared" si="42"/>
        <v>0.5</v>
      </c>
      <c r="AE93" s="8">
        <f t="shared" si="62"/>
        <v>90</v>
      </c>
      <c r="AF93" s="14">
        <f t="shared" si="43"/>
        <v>0</v>
      </c>
      <c r="AG93" s="14">
        <f t="shared" si="44"/>
        <v>10</v>
      </c>
      <c r="AH93" s="25">
        <f t="shared" si="45"/>
        <v>0</v>
      </c>
      <c r="AI93" s="14">
        <f t="shared" si="46"/>
        <v>10</v>
      </c>
      <c r="AJ93" s="14"/>
      <c r="AK93" s="14"/>
      <c r="AL93" s="7"/>
      <c r="AN93" s="14">
        <f t="shared" si="47"/>
        <v>3.06287113727155E-17</v>
      </c>
      <c r="AO93" s="14">
        <f t="shared" si="48"/>
        <v>0.5</v>
      </c>
      <c r="AP93" s="14">
        <f t="shared" si="49"/>
        <v>0.5</v>
      </c>
      <c r="AQ93" s="8">
        <f t="shared" si="57"/>
        <v>9.8225</v>
      </c>
      <c r="AR93" s="8">
        <f t="shared" si="50"/>
        <v>9.81</v>
      </c>
      <c r="AS93" s="8">
        <f t="shared" si="51"/>
        <v>0.0125</v>
      </c>
      <c r="AT93" s="14">
        <f t="shared" si="58"/>
        <v>0</v>
      </c>
      <c r="AU93" s="26">
        <f t="shared" si="52"/>
        <v>0</v>
      </c>
      <c r="AV93" s="26">
        <f t="shared" si="63"/>
        <v>0</v>
      </c>
      <c r="AW93" s="26">
        <f t="shared" si="53"/>
        <v>0</v>
      </c>
      <c r="AX93" s="26">
        <f t="shared" si="54"/>
        <v>0</v>
      </c>
      <c r="AY93" s="26">
        <f t="shared" si="59"/>
        <v>-7.112366251504909E-16</v>
      </c>
    </row>
    <row r="94" spans="22:51" ht="15.75">
      <c r="V94" s="16">
        <v>69</v>
      </c>
      <c r="W94" s="16">
        <f t="shared" si="55"/>
        <v>69</v>
      </c>
      <c r="X94" s="13">
        <f t="shared" si="56"/>
        <v>0</v>
      </c>
      <c r="Y94" s="14">
        <f t="shared" si="60"/>
        <v>0</v>
      </c>
      <c r="Z94" s="14">
        <f t="shared" si="61"/>
        <v>-9.81</v>
      </c>
      <c r="AA94" s="14">
        <f t="shared" si="39"/>
        <v>3.06287113727155E-17</v>
      </c>
      <c r="AB94" s="14">
        <f t="shared" si="40"/>
        <v>0.5</v>
      </c>
      <c r="AC94" s="14">
        <f t="shared" si="41"/>
        <v>3.06287113727155E-17</v>
      </c>
      <c r="AD94" s="14">
        <f t="shared" si="42"/>
        <v>0.5</v>
      </c>
      <c r="AE94" s="8">
        <f t="shared" si="62"/>
        <v>90</v>
      </c>
      <c r="AF94" s="14">
        <f t="shared" si="43"/>
        <v>0</v>
      </c>
      <c r="AG94" s="14">
        <f t="shared" si="44"/>
        <v>10</v>
      </c>
      <c r="AH94" s="25">
        <f t="shared" si="45"/>
        <v>0</v>
      </c>
      <c r="AI94" s="14">
        <f t="shared" si="46"/>
        <v>10</v>
      </c>
      <c r="AJ94" s="14"/>
      <c r="AK94" s="14"/>
      <c r="AL94" s="7"/>
      <c r="AN94" s="14">
        <f t="shared" si="47"/>
        <v>3.06287113727155E-17</v>
      </c>
      <c r="AO94" s="14">
        <f t="shared" si="48"/>
        <v>0.5</v>
      </c>
      <c r="AP94" s="14">
        <f t="shared" si="49"/>
        <v>0.5</v>
      </c>
      <c r="AQ94" s="8">
        <f t="shared" si="57"/>
        <v>9.8225</v>
      </c>
      <c r="AR94" s="8">
        <f t="shared" si="50"/>
        <v>9.81</v>
      </c>
      <c r="AS94" s="8">
        <f t="shared" si="51"/>
        <v>0.0125</v>
      </c>
      <c r="AT94" s="14">
        <f t="shared" si="58"/>
        <v>0</v>
      </c>
      <c r="AU94" s="26">
        <f t="shared" si="52"/>
        <v>0</v>
      </c>
      <c r="AV94" s="26">
        <f t="shared" si="63"/>
        <v>0</v>
      </c>
      <c r="AW94" s="26">
        <f t="shared" si="53"/>
        <v>0</v>
      </c>
      <c r="AX94" s="26">
        <f t="shared" si="54"/>
        <v>0</v>
      </c>
      <c r="AY94" s="26">
        <f t="shared" si="59"/>
        <v>-7.112366251504909E-16</v>
      </c>
    </row>
    <row r="95" spans="22:51" ht="15.75">
      <c r="V95" s="16">
        <v>70</v>
      </c>
      <c r="W95" s="16">
        <f t="shared" si="55"/>
        <v>70</v>
      </c>
      <c r="X95" s="13">
        <f t="shared" si="56"/>
        <v>0</v>
      </c>
      <c r="Y95" s="14">
        <f t="shared" si="60"/>
        <v>0</v>
      </c>
      <c r="Z95" s="14">
        <f t="shared" si="61"/>
        <v>-9.81</v>
      </c>
      <c r="AA95" s="14">
        <f t="shared" si="39"/>
        <v>3.06287113727155E-17</v>
      </c>
      <c r="AB95" s="14">
        <f t="shared" si="40"/>
        <v>0.5</v>
      </c>
      <c r="AC95" s="14">
        <f t="shared" si="41"/>
        <v>3.06287113727155E-17</v>
      </c>
      <c r="AD95" s="14">
        <f t="shared" si="42"/>
        <v>0.5</v>
      </c>
      <c r="AE95" s="8">
        <f t="shared" si="62"/>
        <v>90</v>
      </c>
      <c r="AF95" s="14">
        <f t="shared" si="43"/>
        <v>0</v>
      </c>
      <c r="AG95" s="14">
        <f t="shared" si="44"/>
        <v>10</v>
      </c>
      <c r="AH95" s="25">
        <f t="shared" si="45"/>
        <v>0</v>
      </c>
      <c r="AI95" s="14">
        <f t="shared" si="46"/>
        <v>10</v>
      </c>
      <c r="AJ95" s="14"/>
      <c r="AK95" s="14"/>
      <c r="AL95" s="7"/>
      <c r="AN95" s="14">
        <f t="shared" si="47"/>
        <v>3.06287113727155E-17</v>
      </c>
      <c r="AO95" s="14">
        <f t="shared" si="48"/>
        <v>0.5</v>
      </c>
      <c r="AP95" s="14">
        <f t="shared" si="49"/>
        <v>0.5</v>
      </c>
      <c r="AQ95" s="8">
        <f t="shared" si="57"/>
        <v>9.8225</v>
      </c>
      <c r="AR95" s="8">
        <f t="shared" si="50"/>
        <v>9.81</v>
      </c>
      <c r="AS95" s="8">
        <f t="shared" si="51"/>
        <v>0.0125</v>
      </c>
      <c r="AT95" s="14">
        <f t="shared" si="58"/>
        <v>0</v>
      </c>
      <c r="AU95" s="26">
        <f t="shared" si="52"/>
        <v>0</v>
      </c>
      <c r="AV95" s="26">
        <f t="shared" si="63"/>
        <v>0</v>
      </c>
      <c r="AW95" s="26">
        <f t="shared" si="53"/>
        <v>0</v>
      </c>
      <c r="AX95" s="26">
        <f t="shared" si="54"/>
        <v>0</v>
      </c>
      <c r="AY95" s="26">
        <f t="shared" si="59"/>
        <v>-7.112366251504909E-16</v>
      </c>
    </row>
    <row r="96" spans="22:51" ht="15.75">
      <c r="V96" s="7">
        <v>71</v>
      </c>
      <c r="W96" s="16">
        <f t="shared" si="55"/>
        <v>71</v>
      </c>
      <c r="X96" s="13">
        <f t="shared" si="56"/>
        <v>0</v>
      </c>
      <c r="Y96" s="14">
        <f t="shared" si="60"/>
        <v>0</v>
      </c>
      <c r="Z96" s="14">
        <f t="shared" si="61"/>
        <v>-9.81</v>
      </c>
      <c r="AA96" s="14">
        <f t="shared" si="39"/>
        <v>3.06287113727155E-17</v>
      </c>
      <c r="AB96" s="14">
        <f t="shared" si="40"/>
        <v>0.5</v>
      </c>
      <c r="AC96" s="14">
        <f t="shared" si="41"/>
        <v>3.06287113727155E-17</v>
      </c>
      <c r="AD96" s="14">
        <f t="shared" si="42"/>
        <v>0.5</v>
      </c>
      <c r="AE96" s="8">
        <f t="shared" si="62"/>
        <v>90</v>
      </c>
      <c r="AF96" s="14">
        <f t="shared" si="43"/>
        <v>0</v>
      </c>
      <c r="AG96" s="14">
        <f t="shared" si="44"/>
        <v>10</v>
      </c>
      <c r="AH96" s="25">
        <f t="shared" si="45"/>
        <v>0</v>
      </c>
      <c r="AI96" s="14">
        <f t="shared" si="46"/>
        <v>10</v>
      </c>
      <c r="AJ96" s="14"/>
      <c r="AK96" s="14"/>
      <c r="AL96" s="7"/>
      <c r="AN96" s="14">
        <f t="shared" si="47"/>
        <v>3.06287113727155E-17</v>
      </c>
      <c r="AO96" s="14">
        <f t="shared" si="48"/>
        <v>0.5</v>
      </c>
      <c r="AP96" s="14">
        <f t="shared" si="49"/>
        <v>0.5</v>
      </c>
      <c r="AQ96" s="8">
        <f t="shared" si="57"/>
        <v>9.8225</v>
      </c>
      <c r="AR96" s="8">
        <f t="shared" si="50"/>
        <v>9.81</v>
      </c>
      <c r="AS96" s="8">
        <f t="shared" si="51"/>
        <v>0.0125</v>
      </c>
      <c r="AT96" s="14">
        <f t="shared" si="58"/>
        <v>0</v>
      </c>
      <c r="AU96" s="26">
        <f t="shared" si="52"/>
        <v>0</v>
      </c>
      <c r="AV96" s="26">
        <f t="shared" si="63"/>
        <v>0</v>
      </c>
      <c r="AW96" s="26">
        <f t="shared" si="53"/>
        <v>0</v>
      </c>
      <c r="AX96" s="26">
        <f t="shared" si="54"/>
        <v>0</v>
      </c>
      <c r="AY96" s="26">
        <f t="shared" si="59"/>
        <v>-7.112366251504909E-16</v>
      </c>
    </row>
    <row r="97" spans="22:51" ht="15.75">
      <c r="V97" s="16">
        <v>72</v>
      </c>
      <c r="W97" s="16">
        <f t="shared" si="55"/>
        <v>72</v>
      </c>
      <c r="X97" s="13">
        <f t="shared" si="56"/>
        <v>0</v>
      </c>
      <c r="Y97" s="14">
        <f t="shared" si="60"/>
        <v>0</v>
      </c>
      <c r="Z97" s="14">
        <f t="shared" si="61"/>
        <v>-9.81</v>
      </c>
      <c r="AA97" s="14">
        <f t="shared" si="39"/>
        <v>3.06287113727155E-17</v>
      </c>
      <c r="AB97" s="14">
        <f t="shared" si="40"/>
        <v>0.5</v>
      </c>
      <c r="AC97" s="14">
        <f t="shared" si="41"/>
        <v>3.06287113727155E-17</v>
      </c>
      <c r="AD97" s="14">
        <f t="shared" si="42"/>
        <v>0.5</v>
      </c>
      <c r="AE97" s="8">
        <f t="shared" si="62"/>
        <v>90</v>
      </c>
      <c r="AF97" s="14">
        <f t="shared" si="43"/>
        <v>0</v>
      </c>
      <c r="AG97" s="14">
        <f t="shared" si="44"/>
        <v>10</v>
      </c>
      <c r="AH97" s="25">
        <f t="shared" si="45"/>
        <v>0</v>
      </c>
      <c r="AI97" s="14">
        <f t="shared" si="46"/>
        <v>10</v>
      </c>
      <c r="AJ97" s="14"/>
      <c r="AK97" s="14"/>
      <c r="AL97" s="7"/>
      <c r="AN97" s="14">
        <f t="shared" si="47"/>
        <v>3.06287113727155E-17</v>
      </c>
      <c r="AO97" s="14">
        <f t="shared" si="48"/>
        <v>0.5</v>
      </c>
      <c r="AP97" s="14">
        <f t="shared" si="49"/>
        <v>0.5</v>
      </c>
      <c r="AQ97" s="8">
        <f t="shared" si="57"/>
        <v>9.8225</v>
      </c>
      <c r="AR97" s="8">
        <f t="shared" si="50"/>
        <v>9.81</v>
      </c>
      <c r="AS97" s="8">
        <f t="shared" si="51"/>
        <v>0.0125</v>
      </c>
      <c r="AT97" s="14">
        <f t="shared" si="58"/>
        <v>0</v>
      </c>
      <c r="AU97" s="26">
        <f t="shared" si="52"/>
        <v>0</v>
      </c>
      <c r="AV97" s="26">
        <f t="shared" si="63"/>
        <v>0</v>
      </c>
      <c r="AW97" s="26">
        <f t="shared" si="53"/>
        <v>0</v>
      </c>
      <c r="AX97" s="26">
        <f t="shared" si="54"/>
        <v>0</v>
      </c>
      <c r="AY97" s="26">
        <f t="shared" si="59"/>
        <v>-7.112366251504909E-16</v>
      </c>
    </row>
    <row r="98" spans="22:51" ht="15.75">
      <c r="V98" s="16">
        <v>73</v>
      </c>
      <c r="W98" s="16">
        <f t="shared" si="55"/>
        <v>73</v>
      </c>
      <c r="X98" s="13">
        <f t="shared" si="56"/>
        <v>0</v>
      </c>
      <c r="Y98" s="14">
        <f t="shared" si="60"/>
        <v>0</v>
      </c>
      <c r="Z98" s="14">
        <f t="shared" si="61"/>
        <v>-9.81</v>
      </c>
      <c r="AA98" s="14">
        <f t="shared" si="39"/>
        <v>3.06287113727155E-17</v>
      </c>
      <c r="AB98" s="14">
        <f t="shared" si="40"/>
        <v>0.5</v>
      </c>
      <c r="AC98" s="14">
        <f t="shared" si="41"/>
        <v>3.06287113727155E-17</v>
      </c>
      <c r="AD98" s="14">
        <f t="shared" si="42"/>
        <v>0.5</v>
      </c>
      <c r="AE98" s="8">
        <f t="shared" si="62"/>
        <v>90</v>
      </c>
      <c r="AF98" s="14">
        <f t="shared" si="43"/>
        <v>0</v>
      </c>
      <c r="AG98" s="14">
        <f t="shared" si="44"/>
        <v>10</v>
      </c>
      <c r="AH98" s="25">
        <f t="shared" si="45"/>
        <v>0</v>
      </c>
      <c r="AI98" s="14">
        <f t="shared" si="46"/>
        <v>10</v>
      </c>
      <c r="AJ98" s="14"/>
      <c r="AK98" s="14"/>
      <c r="AL98" s="7"/>
      <c r="AN98" s="14">
        <f t="shared" si="47"/>
        <v>3.06287113727155E-17</v>
      </c>
      <c r="AO98" s="14">
        <f t="shared" si="48"/>
        <v>0.5</v>
      </c>
      <c r="AP98" s="14">
        <f t="shared" si="49"/>
        <v>0.5</v>
      </c>
      <c r="AQ98" s="8">
        <f t="shared" si="57"/>
        <v>9.8225</v>
      </c>
      <c r="AR98" s="8">
        <f t="shared" si="50"/>
        <v>9.81</v>
      </c>
      <c r="AS98" s="8">
        <f t="shared" si="51"/>
        <v>0.0125</v>
      </c>
      <c r="AT98" s="14">
        <f t="shared" si="58"/>
        <v>0</v>
      </c>
      <c r="AU98" s="26">
        <f t="shared" si="52"/>
        <v>0</v>
      </c>
      <c r="AV98" s="26">
        <f t="shared" si="63"/>
        <v>0</v>
      </c>
      <c r="AW98" s="26">
        <f t="shared" si="53"/>
        <v>0</v>
      </c>
      <c r="AX98" s="26">
        <f t="shared" si="54"/>
        <v>0</v>
      </c>
      <c r="AY98" s="26">
        <f t="shared" si="59"/>
        <v>-7.112366251504909E-16</v>
      </c>
    </row>
    <row r="99" spans="22:51" ht="15.75">
      <c r="V99" s="7">
        <v>74</v>
      </c>
      <c r="W99" s="16">
        <f t="shared" si="55"/>
        <v>74</v>
      </c>
      <c r="X99" s="13">
        <f t="shared" si="56"/>
        <v>0</v>
      </c>
      <c r="Y99" s="14">
        <f t="shared" si="60"/>
        <v>0</v>
      </c>
      <c r="Z99" s="14">
        <f t="shared" si="61"/>
        <v>-9.81</v>
      </c>
      <c r="AA99" s="14">
        <f t="shared" si="39"/>
        <v>3.06287113727155E-17</v>
      </c>
      <c r="AB99" s="14">
        <f t="shared" si="40"/>
        <v>0.5</v>
      </c>
      <c r="AC99" s="14">
        <f t="shared" si="41"/>
        <v>3.06287113727155E-17</v>
      </c>
      <c r="AD99" s="14">
        <f t="shared" si="42"/>
        <v>0.5</v>
      </c>
      <c r="AE99" s="8">
        <f t="shared" si="62"/>
        <v>90</v>
      </c>
      <c r="AF99" s="14">
        <f t="shared" si="43"/>
        <v>0</v>
      </c>
      <c r="AG99" s="14">
        <f t="shared" si="44"/>
        <v>10</v>
      </c>
      <c r="AH99" s="25">
        <f t="shared" si="45"/>
        <v>0</v>
      </c>
      <c r="AI99" s="14">
        <f t="shared" si="46"/>
        <v>10</v>
      </c>
      <c r="AJ99" s="14"/>
      <c r="AK99" s="14"/>
      <c r="AL99" s="7"/>
      <c r="AN99" s="14">
        <f t="shared" si="47"/>
        <v>3.06287113727155E-17</v>
      </c>
      <c r="AO99" s="14">
        <f t="shared" si="48"/>
        <v>0.5</v>
      </c>
      <c r="AP99" s="14">
        <f t="shared" si="49"/>
        <v>0.5</v>
      </c>
      <c r="AQ99" s="8">
        <f t="shared" si="57"/>
        <v>9.8225</v>
      </c>
      <c r="AR99" s="8">
        <f t="shared" si="50"/>
        <v>9.81</v>
      </c>
      <c r="AS99" s="8">
        <f t="shared" si="51"/>
        <v>0.0125</v>
      </c>
      <c r="AT99" s="14">
        <f t="shared" si="58"/>
        <v>0</v>
      </c>
      <c r="AU99" s="26">
        <f t="shared" si="52"/>
        <v>0</v>
      </c>
      <c r="AV99" s="26">
        <f t="shared" si="63"/>
        <v>0</v>
      </c>
      <c r="AW99" s="26">
        <f t="shared" si="53"/>
        <v>0</v>
      </c>
      <c r="AX99" s="26">
        <f t="shared" si="54"/>
        <v>0</v>
      </c>
      <c r="AY99" s="26">
        <f t="shared" si="59"/>
        <v>-7.112366251504909E-16</v>
      </c>
    </row>
    <row r="100" spans="22:51" ht="15.75">
      <c r="V100" s="16">
        <v>75</v>
      </c>
      <c r="W100" s="16">
        <f t="shared" si="55"/>
        <v>75</v>
      </c>
      <c r="X100" s="13">
        <f t="shared" si="56"/>
        <v>0</v>
      </c>
      <c r="Y100" s="14">
        <f t="shared" si="60"/>
        <v>0</v>
      </c>
      <c r="Z100" s="14">
        <f t="shared" si="61"/>
        <v>-9.81</v>
      </c>
      <c r="AA100" s="14">
        <f t="shared" si="39"/>
        <v>3.06287113727155E-17</v>
      </c>
      <c r="AB100" s="14">
        <f t="shared" si="40"/>
        <v>0.5</v>
      </c>
      <c r="AC100" s="14">
        <f t="shared" si="41"/>
        <v>3.06287113727155E-17</v>
      </c>
      <c r="AD100" s="14">
        <f t="shared" si="42"/>
        <v>0.5</v>
      </c>
      <c r="AE100" s="8">
        <f t="shared" si="62"/>
        <v>90</v>
      </c>
      <c r="AF100" s="14">
        <f t="shared" si="43"/>
        <v>0</v>
      </c>
      <c r="AG100" s="14">
        <f t="shared" si="44"/>
        <v>10</v>
      </c>
      <c r="AH100" s="25">
        <f t="shared" si="45"/>
        <v>0</v>
      </c>
      <c r="AI100" s="14">
        <f t="shared" si="46"/>
        <v>10</v>
      </c>
      <c r="AJ100" s="14"/>
      <c r="AK100" s="14"/>
      <c r="AL100" s="7"/>
      <c r="AN100" s="14">
        <f t="shared" si="47"/>
        <v>3.06287113727155E-17</v>
      </c>
      <c r="AO100" s="14">
        <f t="shared" si="48"/>
        <v>0.5</v>
      </c>
      <c r="AP100" s="14">
        <f t="shared" si="49"/>
        <v>0.5</v>
      </c>
      <c r="AQ100" s="8">
        <f t="shared" si="57"/>
        <v>9.8225</v>
      </c>
      <c r="AR100" s="8">
        <f t="shared" si="50"/>
        <v>9.81</v>
      </c>
      <c r="AS100" s="8">
        <f t="shared" si="51"/>
        <v>0.0125</v>
      </c>
      <c r="AT100" s="14">
        <f t="shared" si="58"/>
        <v>0</v>
      </c>
      <c r="AU100" s="26">
        <f t="shared" si="52"/>
        <v>0</v>
      </c>
      <c r="AV100" s="26">
        <f t="shared" si="63"/>
        <v>0</v>
      </c>
      <c r="AW100" s="26">
        <f t="shared" si="53"/>
        <v>0</v>
      </c>
      <c r="AX100" s="26">
        <f t="shared" si="54"/>
        <v>0</v>
      </c>
      <c r="AY100" s="26">
        <f t="shared" si="59"/>
        <v>-7.112366251504909E-16</v>
      </c>
    </row>
    <row r="101" spans="22:51" ht="15.75">
      <c r="V101" s="16">
        <v>76</v>
      </c>
      <c r="W101" s="16">
        <f t="shared" si="55"/>
        <v>76</v>
      </c>
      <c r="X101" s="13">
        <f t="shared" si="56"/>
        <v>0</v>
      </c>
      <c r="Y101" s="14">
        <f t="shared" si="60"/>
        <v>0</v>
      </c>
      <c r="Z101" s="14">
        <f t="shared" si="61"/>
        <v>-9.81</v>
      </c>
      <c r="AA101" s="14">
        <f t="shared" si="39"/>
        <v>3.06287113727155E-17</v>
      </c>
      <c r="AB101" s="14">
        <f t="shared" si="40"/>
        <v>0.5</v>
      </c>
      <c r="AC101" s="14">
        <f t="shared" si="41"/>
        <v>3.06287113727155E-17</v>
      </c>
      <c r="AD101" s="14">
        <f t="shared" si="42"/>
        <v>0.5</v>
      </c>
      <c r="AE101" s="8">
        <f t="shared" si="62"/>
        <v>90</v>
      </c>
      <c r="AF101" s="14">
        <f t="shared" si="43"/>
        <v>0</v>
      </c>
      <c r="AG101" s="14">
        <f t="shared" si="44"/>
        <v>10</v>
      </c>
      <c r="AH101" s="25">
        <f t="shared" si="45"/>
        <v>0</v>
      </c>
      <c r="AI101" s="14">
        <f t="shared" si="46"/>
        <v>10</v>
      </c>
      <c r="AJ101" s="14"/>
      <c r="AK101" s="14"/>
      <c r="AL101" s="7"/>
      <c r="AN101" s="14">
        <f t="shared" si="47"/>
        <v>3.06287113727155E-17</v>
      </c>
      <c r="AO101" s="14">
        <f t="shared" si="48"/>
        <v>0.5</v>
      </c>
      <c r="AP101" s="14">
        <f t="shared" si="49"/>
        <v>0.5</v>
      </c>
      <c r="AQ101" s="8">
        <f t="shared" si="57"/>
        <v>9.8225</v>
      </c>
      <c r="AR101" s="8">
        <f t="shared" si="50"/>
        <v>9.81</v>
      </c>
      <c r="AS101" s="8">
        <f t="shared" si="51"/>
        <v>0.0125</v>
      </c>
      <c r="AT101" s="14">
        <f t="shared" si="58"/>
        <v>0</v>
      </c>
      <c r="AU101" s="26">
        <f t="shared" si="52"/>
        <v>0</v>
      </c>
      <c r="AV101" s="26">
        <f t="shared" si="63"/>
        <v>0</v>
      </c>
      <c r="AW101" s="26">
        <f t="shared" si="53"/>
        <v>0</v>
      </c>
      <c r="AX101" s="26">
        <f t="shared" si="54"/>
        <v>0</v>
      </c>
      <c r="AY101" s="26">
        <f t="shared" si="59"/>
        <v>-7.112366251504909E-16</v>
      </c>
    </row>
    <row r="102" spans="22:51" ht="15.75">
      <c r="V102" s="7">
        <v>77</v>
      </c>
      <c r="W102" s="16">
        <f t="shared" si="55"/>
        <v>77</v>
      </c>
      <c r="X102" s="13">
        <f t="shared" si="56"/>
        <v>0</v>
      </c>
      <c r="Y102" s="14">
        <f t="shared" si="60"/>
        <v>0</v>
      </c>
      <c r="Z102" s="14">
        <f t="shared" si="61"/>
        <v>-9.81</v>
      </c>
      <c r="AA102" s="14">
        <f t="shared" si="39"/>
        <v>3.06287113727155E-17</v>
      </c>
      <c r="AB102" s="14">
        <f t="shared" si="40"/>
        <v>0.5</v>
      </c>
      <c r="AC102" s="14">
        <f t="shared" si="41"/>
        <v>3.06287113727155E-17</v>
      </c>
      <c r="AD102" s="14">
        <f t="shared" si="42"/>
        <v>0.5</v>
      </c>
      <c r="AE102" s="8">
        <f t="shared" si="62"/>
        <v>90</v>
      </c>
      <c r="AF102" s="14">
        <f t="shared" si="43"/>
        <v>0</v>
      </c>
      <c r="AG102" s="14">
        <f t="shared" si="44"/>
        <v>10</v>
      </c>
      <c r="AH102" s="25">
        <f t="shared" si="45"/>
        <v>0</v>
      </c>
      <c r="AI102" s="14">
        <f t="shared" si="46"/>
        <v>10</v>
      </c>
      <c r="AJ102" s="14"/>
      <c r="AK102" s="14"/>
      <c r="AL102" s="7"/>
      <c r="AN102" s="14">
        <f t="shared" si="47"/>
        <v>3.06287113727155E-17</v>
      </c>
      <c r="AO102" s="14">
        <f t="shared" si="48"/>
        <v>0.5</v>
      </c>
      <c r="AP102" s="14">
        <f t="shared" si="49"/>
        <v>0.5</v>
      </c>
      <c r="AQ102" s="8">
        <f t="shared" si="57"/>
        <v>9.8225</v>
      </c>
      <c r="AR102" s="8">
        <f t="shared" si="50"/>
        <v>9.81</v>
      </c>
      <c r="AS102" s="8">
        <f t="shared" si="51"/>
        <v>0.0125</v>
      </c>
      <c r="AT102" s="14">
        <f t="shared" si="58"/>
        <v>0</v>
      </c>
      <c r="AU102" s="26">
        <f t="shared" si="52"/>
        <v>0</v>
      </c>
      <c r="AV102" s="26">
        <f t="shared" si="63"/>
        <v>0</v>
      </c>
      <c r="AW102" s="26">
        <f t="shared" si="53"/>
        <v>0</v>
      </c>
      <c r="AX102" s="26">
        <f t="shared" si="54"/>
        <v>0</v>
      </c>
      <c r="AY102" s="26">
        <f t="shared" si="59"/>
        <v>-7.112366251504909E-16</v>
      </c>
    </row>
    <row r="103" spans="22:51" ht="15.75">
      <c r="V103" s="16">
        <v>78</v>
      </c>
      <c r="W103" s="16">
        <f t="shared" si="55"/>
        <v>78</v>
      </c>
      <c r="X103" s="13">
        <f t="shared" si="56"/>
        <v>0</v>
      </c>
      <c r="Y103" s="14">
        <f t="shared" si="60"/>
        <v>0</v>
      </c>
      <c r="Z103" s="14">
        <f t="shared" si="61"/>
        <v>-9.81</v>
      </c>
      <c r="AA103" s="14">
        <f t="shared" si="39"/>
        <v>3.06287113727155E-17</v>
      </c>
      <c r="AB103" s="14">
        <f t="shared" si="40"/>
        <v>0.5</v>
      </c>
      <c r="AC103" s="14">
        <f t="shared" si="41"/>
        <v>3.06287113727155E-17</v>
      </c>
      <c r="AD103" s="14">
        <f t="shared" si="42"/>
        <v>0.5</v>
      </c>
      <c r="AE103" s="8">
        <f t="shared" si="62"/>
        <v>90</v>
      </c>
      <c r="AF103" s="14">
        <f t="shared" si="43"/>
        <v>0</v>
      </c>
      <c r="AG103" s="14">
        <f t="shared" si="44"/>
        <v>10</v>
      </c>
      <c r="AH103" s="25">
        <f t="shared" si="45"/>
        <v>0</v>
      </c>
      <c r="AI103" s="14">
        <f t="shared" si="46"/>
        <v>10</v>
      </c>
      <c r="AJ103" s="14"/>
      <c r="AK103" s="14"/>
      <c r="AL103" s="7"/>
      <c r="AN103" s="14">
        <f t="shared" si="47"/>
        <v>3.06287113727155E-17</v>
      </c>
      <c r="AO103" s="14">
        <f t="shared" si="48"/>
        <v>0.5</v>
      </c>
      <c r="AP103" s="14">
        <f t="shared" si="49"/>
        <v>0.5</v>
      </c>
      <c r="AQ103" s="8">
        <f t="shared" si="57"/>
        <v>9.8225</v>
      </c>
      <c r="AR103" s="8">
        <f t="shared" si="50"/>
        <v>9.81</v>
      </c>
      <c r="AS103" s="8">
        <f t="shared" si="51"/>
        <v>0.0125</v>
      </c>
      <c r="AT103" s="14">
        <f t="shared" si="58"/>
        <v>0</v>
      </c>
      <c r="AU103" s="26">
        <f t="shared" si="52"/>
        <v>0</v>
      </c>
      <c r="AV103" s="26">
        <f t="shared" si="63"/>
        <v>0</v>
      </c>
      <c r="AW103" s="26">
        <f t="shared" si="53"/>
        <v>0</v>
      </c>
      <c r="AX103" s="26">
        <f t="shared" si="54"/>
        <v>0</v>
      </c>
      <c r="AY103" s="26">
        <f t="shared" si="59"/>
        <v>-7.112366251504909E-16</v>
      </c>
    </row>
    <row r="104" spans="22:51" ht="15.75">
      <c r="V104" s="16">
        <v>79</v>
      </c>
      <c r="W104" s="16">
        <f t="shared" si="55"/>
        <v>79</v>
      </c>
      <c r="X104" s="13">
        <f t="shared" si="56"/>
        <v>0</v>
      </c>
      <c r="Y104" s="14">
        <f t="shared" si="60"/>
        <v>0</v>
      </c>
      <c r="Z104" s="14">
        <f t="shared" si="61"/>
        <v>-9.81</v>
      </c>
      <c r="AA104" s="14">
        <f t="shared" si="39"/>
        <v>3.06287113727155E-17</v>
      </c>
      <c r="AB104" s="14">
        <f t="shared" si="40"/>
        <v>0.5</v>
      </c>
      <c r="AC104" s="14">
        <f t="shared" si="41"/>
        <v>3.06287113727155E-17</v>
      </c>
      <c r="AD104" s="14">
        <f t="shared" si="42"/>
        <v>0.5</v>
      </c>
      <c r="AE104" s="8">
        <f t="shared" si="62"/>
        <v>90</v>
      </c>
      <c r="AF104" s="14">
        <f t="shared" si="43"/>
        <v>0</v>
      </c>
      <c r="AG104" s="14">
        <f t="shared" si="44"/>
        <v>10</v>
      </c>
      <c r="AH104" s="25">
        <f t="shared" si="45"/>
        <v>0</v>
      </c>
      <c r="AI104" s="14">
        <f t="shared" si="46"/>
        <v>10</v>
      </c>
      <c r="AJ104" s="14"/>
      <c r="AK104" s="14"/>
      <c r="AL104" s="7"/>
      <c r="AN104" s="14">
        <f t="shared" si="47"/>
        <v>3.06287113727155E-17</v>
      </c>
      <c r="AO104" s="14">
        <f t="shared" si="48"/>
        <v>0.5</v>
      </c>
      <c r="AP104" s="14">
        <f t="shared" si="49"/>
        <v>0.5</v>
      </c>
      <c r="AQ104" s="8">
        <f t="shared" si="57"/>
        <v>9.8225</v>
      </c>
      <c r="AR104" s="8">
        <f t="shared" si="50"/>
        <v>9.81</v>
      </c>
      <c r="AS104" s="8">
        <f t="shared" si="51"/>
        <v>0.0125</v>
      </c>
      <c r="AT104" s="14">
        <f t="shared" si="58"/>
        <v>0</v>
      </c>
      <c r="AU104" s="26">
        <f t="shared" si="52"/>
        <v>0</v>
      </c>
      <c r="AV104" s="26">
        <f t="shared" si="63"/>
        <v>0</v>
      </c>
      <c r="AW104" s="26">
        <f t="shared" si="53"/>
        <v>0</v>
      </c>
      <c r="AX104" s="26">
        <f t="shared" si="54"/>
        <v>0</v>
      </c>
      <c r="AY104" s="26">
        <f t="shared" si="59"/>
        <v>-7.112366251504909E-16</v>
      </c>
    </row>
    <row r="105" spans="22:51" ht="15.75">
      <c r="V105" s="7">
        <v>80</v>
      </c>
      <c r="W105" s="16">
        <f t="shared" si="55"/>
        <v>80</v>
      </c>
      <c r="X105" s="13">
        <f t="shared" si="56"/>
        <v>0</v>
      </c>
      <c r="Y105" s="14">
        <f t="shared" si="60"/>
        <v>0</v>
      </c>
      <c r="Z105" s="14">
        <f t="shared" si="61"/>
        <v>-9.81</v>
      </c>
      <c r="AA105" s="14">
        <f t="shared" si="39"/>
        <v>3.06287113727155E-17</v>
      </c>
      <c r="AB105" s="14">
        <f t="shared" si="40"/>
        <v>0.5</v>
      </c>
      <c r="AC105" s="14">
        <f t="shared" si="41"/>
        <v>3.06287113727155E-17</v>
      </c>
      <c r="AD105" s="14">
        <f t="shared" si="42"/>
        <v>0.5</v>
      </c>
      <c r="AE105" s="8">
        <f t="shared" si="62"/>
        <v>90</v>
      </c>
      <c r="AF105" s="14">
        <f t="shared" si="43"/>
        <v>0</v>
      </c>
      <c r="AG105" s="14">
        <f t="shared" si="44"/>
        <v>10</v>
      </c>
      <c r="AH105" s="25">
        <f t="shared" si="45"/>
        <v>0</v>
      </c>
      <c r="AI105" s="14">
        <f t="shared" si="46"/>
        <v>10</v>
      </c>
      <c r="AJ105" s="14"/>
      <c r="AK105" s="14"/>
      <c r="AL105" s="7"/>
      <c r="AN105" s="14">
        <f t="shared" si="47"/>
        <v>3.06287113727155E-17</v>
      </c>
      <c r="AO105" s="14">
        <f t="shared" si="48"/>
        <v>0.5</v>
      </c>
      <c r="AP105" s="14">
        <f t="shared" si="49"/>
        <v>0.5</v>
      </c>
      <c r="AQ105" s="8">
        <f t="shared" si="57"/>
        <v>9.8225</v>
      </c>
      <c r="AR105" s="8">
        <f t="shared" si="50"/>
        <v>9.81</v>
      </c>
      <c r="AS105" s="8">
        <f t="shared" si="51"/>
        <v>0.0125</v>
      </c>
      <c r="AT105" s="14">
        <f t="shared" si="58"/>
        <v>0</v>
      </c>
      <c r="AU105" s="26">
        <f t="shared" si="52"/>
        <v>0</v>
      </c>
      <c r="AV105" s="26">
        <f t="shared" si="63"/>
        <v>0</v>
      </c>
      <c r="AW105" s="26">
        <f t="shared" si="53"/>
        <v>0</v>
      </c>
      <c r="AX105" s="26">
        <f t="shared" si="54"/>
        <v>0</v>
      </c>
      <c r="AY105" s="26">
        <f t="shared" si="59"/>
        <v>-7.112366251504909E-16</v>
      </c>
    </row>
    <row r="106" spans="22:51" ht="15.75">
      <c r="V106" s="16">
        <v>81</v>
      </c>
      <c r="W106" s="16">
        <f t="shared" si="55"/>
        <v>81</v>
      </c>
      <c r="X106" s="13">
        <f t="shared" si="56"/>
        <v>0</v>
      </c>
      <c r="Y106" s="14">
        <f t="shared" si="60"/>
        <v>0</v>
      </c>
      <c r="Z106" s="14">
        <f t="shared" si="61"/>
        <v>-9.81</v>
      </c>
      <c r="AA106" s="14">
        <f t="shared" si="39"/>
        <v>3.06287113727155E-17</v>
      </c>
      <c r="AB106" s="14">
        <f t="shared" si="40"/>
        <v>0.5</v>
      </c>
      <c r="AC106" s="14">
        <f t="shared" si="41"/>
        <v>3.06287113727155E-17</v>
      </c>
      <c r="AD106" s="14">
        <f t="shared" si="42"/>
        <v>0.5</v>
      </c>
      <c r="AE106" s="8">
        <f t="shared" si="62"/>
        <v>90</v>
      </c>
      <c r="AF106" s="14">
        <f t="shared" si="43"/>
        <v>0</v>
      </c>
      <c r="AG106" s="14">
        <f t="shared" si="44"/>
        <v>10</v>
      </c>
      <c r="AH106" s="25">
        <f t="shared" si="45"/>
        <v>0</v>
      </c>
      <c r="AI106" s="14">
        <f t="shared" si="46"/>
        <v>10</v>
      </c>
      <c r="AJ106" s="14"/>
      <c r="AK106" s="14"/>
      <c r="AL106" s="7"/>
      <c r="AN106" s="14">
        <f t="shared" si="47"/>
        <v>3.06287113727155E-17</v>
      </c>
      <c r="AO106" s="14">
        <f t="shared" si="48"/>
        <v>0.5</v>
      </c>
      <c r="AP106" s="14">
        <f t="shared" si="49"/>
        <v>0.5</v>
      </c>
      <c r="AQ106" s="8">
        <f t="shared" si="57"/>
        <v>9.8225</v>
      </c>
      <c r="AR106" s="8">
        <f t="shared" si="50"/>
        <v>9.81</v>
      </c>
      <c r="AS106" s="8">
        <f t="shared" si="51"/>
        <v>0.0125</v>
      </c>
      <c r="AT106" s="14">
        <f t="shared" si="58"/>
        <v>0</v>
      </c>
      <c r="AU106" s="26">
        <f t="shared" si="52"/>
        <v>0</v>
      </c>
      <c r="AV106" s="26">
        <f t="shared" si="63"/>
        <v>0</v>
      </c>
      <c r="AW106" s="26">
        <f t="shared" si="53"/>
        <v>0</v>
      </c>
      <c r="AX106" s="26">
        <f t="shared" si="54"/>
        <v>0</v>
      </c>
      <c r="AY106" s="26">
        <f t="shared" si="59"/>
        <v>-7.112366251504909E-16</v>
      </c>
    </row>
    <row r="107" spans="22:51" ht="15.75">
      <c r="V107" s="16">
        <v>82</v>
      </c>
      <c r="W107" s="16">
        <f t="shared" si="55"/>
        <v>82</v>
      </c>
      <c r="X107" s="13">
        <f t="shared" si="56"/>
        <v>0</v>
      </c>
      <c r="Y107" s="14">
        <f t="shared" si="60"/>
        <v>0</v>
      </c>
      <c r="Z107" s="14">
        <f t="shared" si="61"/>
        <v>-9.81</v>
      </c>
      <c r="AA107" s="14">
        <f t="shared" si="39"/>
        <v>3.06287113727155E-17</v>
      </c>
      <c r="AB107" s="14">
        <f t="shared" si="40"/>
        <v>0.5</v>
      </c>
      <c r="AC107" s="14">
        <f t="shared" si="41"/>
        <v>3.06287113727155E-17</v>
      </c>
      <c r="AD107" s="14">
        <f t="shared" si="42"/>
        <v>0.5</v>
      </c>
      <c r="AE107" s="8">
        <f t="shared" si="62"/>
        <v>90</v>
      </c>
      <c r="AF107" s="14">
        <f t="shared" si="43"/>
        <v>0</v>
      </c>
      <c r="AG107" s="14">
        <f t="shared" si="44"/>
        <v>10</v>
      </c>
      <c r="AH107" s="25">
        <f t="shared" si="45"/>
        <v>0</v>
      </c>
      <c r="AI107" s="14">
        <f t="shared" si="46"/>
        <v>10</v>
      </c>
      <c r="AJ107" s="14"/>
      <c r="AK107" s="14"/>
      <c r="AL107" s="7"/>
      <c r="AN107" s="14">
        <f t="shared" si="47"/>
        <v>3.06287113727155E-17</v>
      </c>
      <c r="AO107" s="14">
        <f t="shared" si="48"/>
        <v>0.5</v>
      </c>
      <c r="AP107" s="14">
        <f t="shared" si="49"/>
        <v>0.5</v>
      </c>
      <c r="AQ107" s="8">
        <f t="shared" si="57"/>
        <v>9.8225</v>
      </c>
      <c r="AR107" s="8">
        <f t="shared" si="50"/>
        <v>9.81</v>
      </c>
      <c r="AS107" s="8">
        <f t="shared" si="51"/>
        <v>0.0125</v>
      </c>
      <c r="AT107" s="14">
        <f t="shared" si="58"/>
        <v>0</v>
      </c>
      <c r="AU107" s="26">
        <f t="shared" si="52"/>
        <v>0</v>
      </c>
      <c r="AV107" s="26">
        <f t="shared" si="63"/>
        <v>0</v>
      </c>
      <c r="AW107" s="26">
        <f t="shared" si="53"/>
        <v>0</v>
      </c>
      <c r="AX107" s="26">
        <f t="shared" si="54"/>
        <v>0</v>
      </c>
      <c r="AY107" s="26">
        <f t="shared" si="59"/>
        <v>-7.112366251504909E-16</v>
      </c>
    </row>
    <row r="108" spans="22:51" ht="15.75">
      <c r="V108" s="7">
        <v>83</v>
      </c>
      <c r="W108" s="16">
        <f t="shared" si="55"/>
        <v>83</v>
      </c>
      <c r="X108" s="13">
        <f t="shared" si="56"/>
        <v>0</v>
      </c>
      <c r="Y108" s="14">
        <f t="shared" si="60"/>
        <v>0</v>
      </c>
      <c r="Z108" s="14">
        <f t="shared" si="61"/>
        <v>-9.81</v>
      </c>
      <c r="AA108" s="14">
        <f t="shared" si="39"/>
        <v>3.06287113727155E-17</v>
      </c>
      <c r="AB108" s="14">
        <f t="shared" si="40"/>
        <v>0.5</v>
      </c>
      <c r="AC108" s="14">
        <f t="shared" si="41"/>
        <v>3.06287113727155E-17</v>
      </c>
      <c r="AD108" s="14">
        <f t="shared" si="42"/>
        <v>0.5</v>
      </c>
      <c r="AE108" s="8">
        <f t="shared" si="62"/>
        <v>90</v>
      </c>
      <c r="AF108" s="14">
        <f t="shared" si="43"/>
        <v>0</v>
      </c>
      <c r="AG108" s="14">
        <f t="shared" si="44"/>
        <v>10</v>
      </c>
      <c r="AH108" s="25">
        <f t="shared" si="45"/>
        <v>0</v>
      </c>
      <c r="AI108" s="14">
        <f t="shared" si="46"/>
        <v>10</v>
      </c>
      <c r="AJ108" s="14"/>
      <c r="AK108" s="14"/>
      <c r="AL108" s="7"/>
      <c r="AN108" s="14">
        <f t="shared" si="47"/>
        <v>3.06287113727155E-17</v>
      </c>
      <c r="AO108" s="14">
        <f t="shared" si="48"/>
        <v>0.5</v>
      </c>
      <c r="AP108" s="14">
        <f t="shared" si="49"/>
        <v>0.5</v>
      </c>
      <c r="AQ108" s="8">
        <f t="shared" si="57"/>
        <v>9.8225</v>
      </c>
      <c r="AR108" s="8">
        <f t="shared" si="50"/>
        <v>9.81</v>
      </c>
      <c r="AS108" s="8">
        <f t="shared" si="51"/>
        <v>0.0125</v>
      </c>
      <c r="AT108" s="14">
        <f t="shared" si="58"/>
        <v>0</v>
      </c>
      <c r="AU108" s="26">
        <f t="shared" si="52"/>
        <v>0</v>
      </c>
      <c r="AV108" s="26">
        <f t="shared" si="63"/>
        <v>0</v>
      </c>
      <c r="AW108" s="26">
        <f t="shared" si="53"/>
        <v>0</v>
      </c>
      <c r="AX108" s="26">
        <f t="shared" si="54"/>
        <v>0</v>
      </c>
      <c r="AY108" s="26">
        <f t="shared" si="59"/>
        <v>-7.112366251504909E-16</v>
      </c>
    </row>
    <row r="109" spans="22:51" ht="15.75">
      <c r="V109" s="16">
        <v>84</v>
      </c>
      <c r="W109" s="16">
        <f t="shared" si="55"/>
        <v>84</v>
      </c>
      <c r="X109" s="13">
        <f t="shared" si="56"/>
        <v>0</v>
      </c>
      <c r="Y109" s="14">
        <f t="shared" si="60"/>
        <v>0</v>
      </c>
      <c r="Z109" s="14">
        <f t="shared" si="61"/>
        <v>-9.81</v>
      </c>
      <c r="AA109" s="14">
        <f t="shared" si="39"/>
        <v>3.06287113727155E-17</v>
      </c>
      <c r="AB109" s="14">
        <f t="shared" si="40"/>
        <v>0.5</v>
      </c>
      <c r="AC109" s="14">
        <f t="shared" si="41"/>
        <v>3.06287113727155E-17</v>
      </c>
      <c r="AD109" s="14">
        <f t="shared" si="42"/>
        <v>0.5</v>
      </c>
      <c r="AE109" s="8">
        <f t="shared" si="62"/>
        <v>90</v>
      </c>
      <c r="AF109" s="14">
        <f t="shared" si="43"/>
        <v>0</v>
      </c>
      <c r="AG109" s="14">
        <f t="shared" si="44"/>
        <v>10</v>
      </c>
      <c r="AH109" s="25">
        <f t="shared" si="45"/>
        <v>0</v>
      </c>
      <c r="AI109" s="14">
        <f t="shared" si="46"/>
        <v>10</v>
      </c>
      <c r="AJ109" s="14"/>
      <c r="AK109" s="14"/>
      <c r="AL109" s="7"/>
      <c r="AN109" s="14">
        <f t="shared" si="47"/>
        <v>3.06287113727155E-17</v>
      </c>
      <c r="AO109" s="14">
        <f t="shared" si="48"/>
        <v>0.5</v>
      </c>
      <c r="AP109" s="14">
        <f t="shared" si="49"/>
        <v>0.5</v>
      </c>
      <c r="AQ109" s="8">
        <f t="shared" si="57"/>
        <v>9.8225</v>
      </c>
      <c r="AR109" s="8">
        <f t="shared" si="50"/>
        <v>9.81</v>
      </c>
      <c r="AS109" s="8">
        <f t="shared" si="51"/>
        <v>0.0125</v>
      </c>
      <c r="AT109" s="14">
        <f t="shared" si="58"/>
        <v>0</v>
      </c>
      <c r="AU109" s="26">
        <f t="shared" si="52"/>
        <v>0</v>
      </c>
      <c r="AV109" s="26">
        <f t="shared" si="63"/>
        <v>0</v>
      </c>
      <c r="AW109" s="26">
        <f t="shared" si="53"/>
        <v>0</v>
      </c>
      <c r="AX109" s="26">
        <f t="shared" si="54"/>
        <v>0</v>
      </c>
      <c r="AY109" s="26">
        <f t="shared" si="59"/>
        <v>-7.112366251504909E-16</v>
      </c>
    </row>
    <row r="110" spans="22:51" ht="15.75">
      <c r="V110" s="16">
        <v>85</v>
      </c>
      <c r="W110" s="16">
        <f t="shared" si="55"/>
        <v>85</v>
      </c>
      <c r="X110" s="13">
        <f t="shared" si="56"/>
        <v>0</v>
      </c>
      <c r="Y110" s="14">
        <f t="shared" si="60"/>
        <v>0</v>
      </c>
      <c r="Z110" s="14">
        <f t="shared" si="61"/>
        <v>-9.81</v>
      </c>
      <c r="AA110" s="14">
        <f t="shared" si="39"/>
        <v>3.06287113727155E-17</v>
      </c>
      <c r="AB110" s="14">
        <f t="shared" si="40"/>
        <v>0.5</v>
      </c>
      <c r="AC110" s="14">
        <f t="shared" si="41"/>
        <v>3.06287113727155E-17</v>
      </c>
      <c r="AD110" s="14">
        <f t="shared" si="42"/>
        <v>0.5</v>
      </c>
      <c r="AE110" s="8">
        <f t="shared" si="62"/>
        <v>90</v>
      </c>
      <c r="AF110" s="14">
        <f t="shared" si="43"/>
        <v>0</v>
      </c>
      <c r="AG110" s="14">
        <f t="shared" si="44"/>
        <v>10</v>
      </c>
      <c r="AH110" s="25">
        <f t="shared" si="45"/>
        <v>0</v>
      </c>
      <c r="AI110" s="14">
        <f t="shared" si="46"/>
        <v>10</v>
      </c>
      <c r="AJ110" s="14"/>
      <c r="AK110" s="14"/>
      <c r="AL110" s="7"/>
      <c r="AN110" s="14">
        <f t="shared" si="47"/>
        <v>3.06287113727155E-17</v>
      </c>
      <c r="AO110" s="14">
        <f t="shared" si="48"/>
        <v>0.5</v>
      </c>
      <c r="AP110" s="14">
        <f t="shared" si="49"/>
        <v>0.5</v>
      </c>
      <c r="AQ110" s="8">
        <f t="shared" si="57"/>
        <v>9.8225</v>
      </c>
      <c r="AR110" s="8">
        <f t="shared" si="50"/>
        <v>9.81</v>
      </c>
      <c r="AS110" s="8">
        <f t="shared" si="51"/>
        <v>0.0125</v>
      </c>
      <c r="AT110" s="14">
        <f t="shared" si="58"/>
        <v>0</v>
      </c>
      <c r="AU110" s="26">
        <f t="shared" si="52"/>
        <v>0</v>
      </c>
      <c r="AV110" s="26">
        <f t="shared" si="63"/>
        <v>0</v>
      </c>
      <c r="AW110" s="26">
        <f t="shared" si="53"/>
        <v>0</v>
      </c>
      <c r="AX110" s="26">
        <f t="shared" si="54"/>
        <v>0</v>
      </c>
      <c r="AY110" s="26">
        <f t="shared" si="59"/>
        <v>-7.112366251504909E-16</v>
      </c>
    </row>
    <row r="111" spans="22:51" ht="15.75">
      <c r="V111" s="7">
        <v>86</v>
      </c>
      <c r="W111" s="16">
        <f t="shared" si="55"/>
        <v>86</v>
      </c>
      <c r="X111" s="13">
        <f t="shared" si="56"/>
        <v>0</v>
      </c>
      <c r="Y111" s="14">
        <f t="shared" si="60"/>
        <v>0</v>
      </c>
      <c r="Z111" s="14">
        <f t="shared" si="61"/>
        <v>-9.81</v>
      </c>
      <c r="AA111" s="14">
        <f t="shared" si="39"/>
        <v>3.06287113727155E-17</v>
      </c>
      <c r="AB111" s="14">
        <f t="shared" si="40"/>
        <v>0.5</v>
      </c>
      <c r="AC111" s="14">
        <f t="shared" si="41"/>
        <v>3.06287113727155E-17</v>
      </c>
      <c r="AD111" s="14">
        <f t="shared" si="42"/>
        <v>0.5</v>
      </c>
      <c r="AE111" s="8">
        <f t="shared" si="62"/>
        <v>90</v>
      </c>
      <c r="AF111" s="14">
        <f t="shared" si="43"/>
        <v>0</v>
      </c>
      <c r="AG111" s="14">
        <f t="shared" si="44"/>
        <v>10</v>
      </c>
      <c r="AH111" s="25">
        <f t="shared" si="45"/>
        <v>0</v>
      </c>
      <c r="AI111" s="14">
        <f t="shared" si="46"/>
        <v>10</v>
      </c>
      <c r="AJ111" s="14"/>
      <c r="AK111" s="14"/>
      <c r="AL111" s="7"/>
      <c r="AN111" s="14">
        <f t="shared" si="47"/>
        <v>3.06287113727155E-17</v>
      </c>
      <c r="AO111" s="14">
        <f t="shared" si="48"/>
        <v>0.5</v>
      </c>
      <c r="AP111" s="14">
        <f t="shared" si="49"/>
        <v>0.5</v>
      </c>
      <c r="AQ111" s="8">
        <f t="shared" si="57"/>
        <v>9.8225</v>
      </c>
      <c r="AR111" s="8">
        <f t="shared" si="50"/>
        <v>9.81</v>
      </c>
      <c r="AS111" s="8">
        <f t="shared" si="51"/>
        <v>0.0125</v>
      </c>
      <c r="AT111" s="14">
        <f t="shared" si="58"/>
        <v>0</v>
      </c>
      <c r="AU111" s="26">
        <f t="shared" si="52"/>
        <v>0</v>
      </c>
      <c r="AV111" s="26">
        <f t="shared" si="63"/>
        <v>0</v>
      </c>
      <c r="AW111" s="26">
        <f t="shared" si="53"/>
        <v>0</v>
      </c>
      <c r="AX111" s="26">
        <f t="shared" si="54"/>
        <v>0</v>
      </c>
      <c r="AY111" s="26">
        <f t="shared" si="59"/>
        <v>-7.112366251504909E-16</v>
      </c>
    </row>
    <row r="112" spans="22:51" ht="15.75">
      <c r="V112" s="16">
        <v>87</v>
      </c>
      <c r="W112" s="16">
        <f t="shared" si="55"/>
        <v>87</v>
      </c>
      <c r="X112" s="13">
        <f t="shared" si="56"/>
        <v>0</v>
      </c>
      <c r="Y112" s="14">
        <f t="shared" si="60"/>
        <v>0</v>
      </c>
      <c r="Z112" s="14">
        <f t="shared" si="61"/>
        <v>-9.81</v>
      </c>
      <c r="AA112" s="14">
        <f t="shared" si="39"/>
        <v>3.06287113727155E-17</v>
      </c>
      <c r="AB112" s="14">
        <f t="shared" si="40"/>
        <v>0.5</v>
      </c>
      <c r="AC112" s="14">
        <f t="shared" si="41"/>
        <v>3.06287113727155E-17</v>
      </c>
      <c r="AD112" s="14">
        <f t="shared" si="42"/>
        <v>0.5</v>
      </c>
      <c r="AE112" s="8">
        <f t="shared" si="62"/>
        <v>90</v>
      </c>
      <c r="AF112" s="14">
        <f t="shared" si="43"/>
        <v>0</v>
      </c>
      <c r="AG112" s="14">
        <f t="shared" si="44"/>
        <v>10</v>
      </c>
      <c r="AH112" s="25">
        <f t="shared" si="45"/>
        <v>0</v>
      </c>
      <c r="AI112" s="14">
        <f t="shared" si="46"/>
        <v>10</v>
      </c>
      <c r="AJ112" s="14"/>
      <c r="AK112" s="14"/>
      <c r="AL112" s="7"/>
      <c r="AN112" s="14">
        <f t="shared" si="47"/>
        <v>3.06287113727155E-17</v>
      </c>
      <c r="AO112" s="14">
        <f t="shared" si="48"/>
        <v>0.5</v>
      </c>
      <c r="AP112" s="14">
        <f t="shared" si="49"/>
        <v>0.5</v>
      </c>
      <c r="AQ112" s="8">
        <f t="shared" si="57"/>
        <v>9.8225</v>
      </c>
      <c r="AR112" s="8">
        <f t="shared" si="50"/>
        <v>9.81</v>
      </c>
      <c r="AS112" s="8">
        <f t="shared" si="51"/>
        <v>0.0125</v>
      </c>
      <c r="AT112" s="14">
        <f t="shared" si="58"/>
        <v>0</v>
      </c>
      <c r="AU112" s="26">
        <f t="shared" si="52"/>
        <v>0</v>
      </c>
      <c r="AV112" s="26">
        <f t="shared" si="63"/>
        <v>0</v>
      </c>
      <c r="AW112" s="26">
        <f t="shared" si="53"/>
        <v>0</v>
      </c>
      <c r="AX112" s="26">
        <f t="shared" si="54"/>
        <v>0</v>
      </c>
      <c r="AY112" s="26">
        <f t="shared" si="59"/>
        <v>-7.112366251504909E-16</v>
      </c>
    </row>
    <row r="113" spans="22:51" ht="15.75">
      <c r="V113" s="16">
        <v>88</v>
      </c>
      <c r="W113" s="16">
        <f t="shared" si="55"/>
        <v>88</v>
      </c>
      <c r="X113" s="13">
        <f t="shared" si="56"/>
        <v>0</v>
      </c>
      <c r="Y113" s="14">
        <f t="shared" si="60"/>
        <v>0</v>
      </c>
      <c r="Z113" s="14">
        <f t="shared" si="61"/>
        <v>-9.81</v>
      </c>
      <c r="AA113" s="14">
        <f t="shared" si="39"/>
        <v>3.06287113727155E-17</v>
      </c>
      <c r="AB113" s="14">
        <f t="shared" si="40"/>
        <v>0.5</v>
      </c>
      <c r="AC113" s="14">
        <f t="shared" si="41"/>
        <v>3.06287113727155E-17</v>
      </c>
      <c r="AD113" s="14">
        <f t="shared" si="42"/>
        <v>0.5</v>
      </c>
      <c r="AE113" s="8">
        <f t="shared" si="62"/>
        <v>90</v>
      </c>
      <c r="AF113" s="14">
        <f t="shared" si="43"/>
        <v>0</v>
      </c>
      <c r="AG113" s="14">
        <f t="shared" si="44"/>
        <v>10</v>
      </c>
      <c r="AH113" s="25">
        <f t="shared" si="45"/>
        <v>0</v>
      </c>
      <c r="AI113" s="14">
        <f t="shared" si="46"/>
        <v>10</v>
      </c>
      <c r="AJ113" s="14"/>
      <c r="AK113" s="14"/>
      <c r="AL113" s="7"/>
      <c r="AN113" s="14">
        <f t="shared" si="47"/>
        <v>3.06287113727155E-17</v>
      </c>
      <c r="AO113" s="14">
        <f t="shared" si="48"/>
        <v>0.5</v>
      </c>
      <c r="AP113" s="14">
        <f t="shared" si="49"/>
        <v>0.5</v>
      </c>
      <c r="AQ113" s="8">
        <f t="shared" si="57"/>
        <v>9.8225</v>
      </c>
      <c r="AR113" s="8">
        <f t="shared" si="50"/>
        <v>9.81</v>
      </c>
      <c r="AS113" s="8">
        <f t="shared" si="51"/>
        <v>0.0125</v>
      </c>
      <c r="AT113" s="14">
        <f t="shared" si="58"/>
        <v>0</v>
      </c>
      <c r="AU113" s="26">
        <f t="shared" si="52"/>
        <v>0</v>
      </c>
      <c r="AV113" s="26">
        <f t="shared" si="63"/>
        <v>0</v>
      </c>
      <c r="AW113" s="26">
        <f t="shared" si="53"/>
        <v>0</v>
      </c>
      <c r="AX113" s="26">
        <f t="shared" si="54"/>
        <v>0</v>
      </c>
      <c r="AY113" s="26">
        <f t="shared" si="59"/>
        <v>-7.112366251504909E-16</v>
      </c>
    </row>
    <row r="114" spans="22:51" ht="15.75">
      <c r="V114" s="7">
        <v>89</v>
      </c>
      <c r="W114" s="16">
        <f t="shared" si="55"/>
        <v>89</v>
      </c>
      <c r="X114" s="13">
        <f t="shared" si="56"/>
        <v>0</v>
      </c>
      <c r="Y114" s="14">
        <f t="shared" si="60"/>
        <v>0</v>
      </c>
      <c r="Z114" s="14">
        <f t="shared" si="61"/>
        <v>-9.81</v>
      </c>
      <c r="AA114" s="14">
        <f t="shared" si="39"/>
        <v>3.06287113727155E-17</v>
      </c>
      <c r="AB114" s="14">
        <f t="shared" si="40"/>
        <v>0.5</v>
      </c>
      <c r="AC114" s="14">
        <f t="shared" si="41"/>
        <v>3.06287113727155E-17</v>
      </c>
      <c r="AD114" s="14">
        <f t="shared" si="42"/>
        <v>0.5</v>
      </c>
      <c r="AE114" s="8">
        <f t="shared" si="62"/>
        <v>90</v>
      </c>
      <c r="AF114" s="14">
        <f t="shared" si="43"/>
        <v>0</v>
      </c>
      <c r="AG114" s="14">
        <f t="shared" si="44"/>
        <v>10</v>
      </c>
      <c r="AH114" s="25">
        <f t="shared" si="45"/>
        <v>0</v>
      </c>
      <c r="AI114" s="14">
        <f t="shared" si="46"/>
        <v>10</v>
      </c>
      <c r="AJ114" s="14"/>
      <c r="AK114" s="14"/>
      <c r="AL114" s="7"/>
      <c r="AN114" s="14">
        <f t="shared" si="47"/>
        <v>3.06287113727155E-17</v>
      </c>
      <c r="AO114" s="14">
        <f t="shared" si="48"/>
        <v>0.5</v>
      </c>
      <c r="AP114" s="14">
        <f t="shared" si="49"/>
        <v>0.5</v>
      </c>
      <c r="AQ114" s="8">
        <f t="shared" si="57"/>
        <v>9.8225</v>
      </c>
      <c r="AR114" s="8">
        <f t="shared" si="50"/>
        <v>9.81</v>
      </c>
      <c r="AS114" s="8">
        <f t="shared" si="51"/>
        <v>0.0125</v>
      </c>
      <c r="AT114" s="14">
        <f t="shared" si="58"/>
        <v>0</v>
      </c>
      <c r="AU114" s="26">
        <f t="shared" si="52"/>
        <v>0</v>
      </c>
      <c r="AV114" s="26">
        <f t="shared" si="63"/>
        <v>0</v>
      </c>
      <c r="AW114" s="26">
        <f t="shared" si="53"/>
        <v>0</v>
      </c>
      <c r="AX114" s="26">
        <f t="shared" si="54"/>
        <v>0</v>
      </c>
      <c r="AY114" s="26">
        <f t="shared" si="59"/>
        <v>-7.112366251504909E-16</v>
      </c>
    </row>
    <row r="115" spans="22:51" ht="15.75">
      <c r="V115" s="16">
        <v>90</v>
      </c>
      <c r="W115" s="16">
        <f t="shared" si="55"/>
        <v>90</v>
      </c>
      <c r="X115" s="13">
        <f t="shared" si="56"/>
        <v>0</v>
      </c>
      <c r="Y115" s="14">
        <f t="shared" si="60"/>
        <v>0</v>
      </c>
      <c r="Z115" s="14">
        <f t="shared" si="61"/>
        <v>-9.81</v>
      </c>
      <c r="AA115" s="14">
        <f t="shared" si="39"/>
        <v>3.06287113727155E-17</v>
      </c>
      <c r="AB115" s="14">
        <f t="shared" si="40"/>
        <v>0.5</v>
      </c>
      <c r="AC115" s="14">
        <f t="shared" si="41"/>
        <v>3.06287113727155E-17</v>
      </c>
      <c r="AD115" s="14">
        <f t="shared" si="42"/>
        <v>0.5</v>
      </c>
      <c r="AE115" s="8">
        <f t="shared" si="62"/>
        <v>90</v>
      </c>
      <c r="AF115" s="14">
        <f t="shared" si="43"/>
        <v>0</v>
      </c>
      <c r="AG115" s="14">
        <f t="shared" si="44"/>
        <v>10</v>
      </c>
      <c r="AH115" s="25">
        <f t="shared" si="45"/>
        <v>0</v>
      </c>
      <c r="AI115" s="14">
        <f t="shared" si="46"/>
        <v>10</v>
      </c>
      <c r="AJ115" s="14"/>
      <c r="AK115" s="14"/>
      <c r="AL115" s="7"/>
      <c r="AN115" s="14">
        <f t="shared" si="47"/>
        <v>3.06287113727155E-17</v>
      </c>
      <c r="AO115" s="14">
        <f t="shared" si="48"/>
        <v>0.5</v>
      </c>
      <c r="AP115" s="14">
        <f t="shared" si="49"/>
        <v>0.5</v>
      </c>
      <c r="AQ115" s="8">
        <f t="shared" si="57"/>
        <v>9.8225</v>
      </c>
      <c r="AR115" s="8">
        <f t="shared" si="50"/>
        <v>9.81</v>
      </c>
      <c r="AS115" s="8">
        <f t="shared" si="51"/>
        <v>0.0125</v>
      </c>
      <c r="AT115" s="14">
        <f t="shared" si="58"/>
        <v>0</v>
      </c>
      <c r="AU115" s="26">
        <f t="shared" si="52"/>
        <v>0</v>
      </c>
      <c r="AV115" s="26">
        <f t="shared" si="63"/>
        <v>0</v>
      </c>
      <c r="AW115" s="26">
        <f t="shared" si="53"/>
        <v>0</v>
      </c>
      <c r="AX115" s="26">
        <f t="shared" si="54"/>
        <v>0</v>
      </c>
      <c r="AY115" s="26">
        <f t="shared" si="59"/>
        <v>-7.112366251504909E-16</v>
      </c>
    </row>
    <row r="116" spans="22:51" ht="15.75">
      <c r="V116" s="16">
        <v>91</v>
      </c>
      <c r="W116" s="16">
        <f t="shared" si="55"/>
        <v>91</v>
      </c>
      <c r="X116" s="13">
        <f t="shared" si="56"/>
        <v>0</v>
      </c>
      <c r="Y116" s="14">
        <f aca="true" t="shared" si="64" ref="Y116:Y125">-$W$14*(AA115^2+AB115^2)/$C$4*COS(AE115/180*PI())</f>
        <v>0</v>
      </c>
      <c r="Z116" s="14">
        <f aca="true" t="shared" si="65" ref="Z116:Z125">-9.81-$W$14*(AA115^2+AB115^2)/$C$4*SIN(AE115/180*PI())</f>
        <v>-9.81</v>
      </c>
      <c r="AA116" s="14">
        <f aca="true" t="shared" si="66" ref="AA116:AA125">AA115+Y116*(X116-X115)</f>
        <v>3.06287113727155E-17</v>
      </c>
      <c r="AB116" s="14">
        <f aca="true" t="shared" si="67" ref="AB116:AB125">AB115+Z116*(X116-X115)</f>
        <v>0.5</v>
      </c>
      <c r="AC116" s="14">
        <f aca="true" t="shared" si="68" ref="AC116:AC125">IF(AND(AB116&lt;0,AG116&lt;$N$3),0,AA116)</f>
        <v>3.06287113727155E-17</v>
      </c>
      <c r="AD116" s="14">
        <f aca="true" t="shared" si="69" ref="AD116:AD125">IF(AND(AB116&lt;0,AG116&lt;$N$3),0,AB116)</f>
        <v>0.5</v>
      </c>
      <c r="AE116" s="8">
        <f aca="true" t="shared" si="70" ref="AE116:AE125">ATAN(AB116/AA116)/PI()*180</f>
        <v>90</v>
      </c>
      <c r="AF116" s="14">
        <f aca="true" t="shared" si="71" ref="AF116:AF125">AF115+AA116*(X116-X115)</f>
        <v>0</v>
      </c>
      <c r="AG116" s="14">
        <f aca="true" t="shared" si="72" ref="AG116:AG125">AG115+AB116*(X116-X115)</f>
        <v>10</v>
      </c>
      <c r="AH116" s="25">
        <f aca="true" t="shared" si="73" ref="AH116:AH125">IF(AND(AB116&lt;0,AG116&lt;$N$3),AH115,AF116)</f>
        <v>0</v>
      </c>
      <c r="AI116" s="14">
        <f aca="true" t="shared" si="74" ref="AI116:AI125">IF(AND(AB116&lt;0,AG116&lt;$N$3),$N$3,AG116)</f>
        <v>10</v>
      </c>
      <c r="AJ116" s="14"/>
      <c r="AK116" s="14"/>
      <c r="AL116" s="7"/>
      <c r="AN116" s="14">
        <f aca="true" t="shared" si="75" ref="AN116:AN125">AC116</f>
        <v>3.06287113727155E-17</v>
      </c>
      <c r="AO116" s="14">
        <f aca="true" t="shared" si="76" ref="AO116:AO125">AD116</f>
        <v>0.5</v>
      </c>
      <c r="AP116" s="14">
        <f aca="true" t="shared" si="77" ref="AP116:AP125">SQRT(AN116^2+AO116^2)</f>
        <v>0.5</v>
      </c>
      <c r="AQ116" s="8">
        <f t="shared" si="57"/>
        <v>9.8225</v>
      </c>
      <c r="AR116" s="8">
        <f aca="true" t="shared" si="78" ref="AR116:AR125">$C$4*9.81*AI116</f>
        <v>9.81</v>
      </c>
      <c r="AS116" s="8">
        <f aca="true" t="shared" si="79" ref="AS116:AS125">0.5*$C$4*AP116^2</f>
        <v>0.0125</v>
      </c>
      <c r="AT116" s="14">
        <f aca="true" t="shared" si="80" ref="AT116:AT125">$W$14*AP116^2</f>
        <v>0</v>
      </c>
      <c r="AU116" s="26">
        <f aca="true" t="shared" si="81" ref="AU116:AU125">AP116*(X116-X115)</f>
        <v>0</v>
      </c>
      <c r="AV116" s="26">
        <f aca="true" t="shared" si="82" ref="AV116:AV125">AV115+AT116*AU116</f>
        <v>0</v>
      </c>
      <c r="AW116" s="26">
        <f aca="true" t="shared" si="83" ref="AW116:AW125">IF(AS116=0,AQ116-AR116-AV116,0)</f>
        <v>0</v>
      </c>
      <c r="AX116" s="26">
        <f aca="true" t="shared" si="84" ref="AX116:AX125">AV116+AW116</f>
        <v>0</v>
      </c>
      <c r="AY116" s="26">
        <f aca="true" t="shared" si="85" ref="AY116:AY125">AQ116-AR116-AS116</f>
        <v>-7.112366251504909E-16</v>
      </c>
    </row>
    <row r="117" spans="22:51" ht="15.75">
      <c r="V117" s="7">
        <v>92</v>
      </c>
      <c r="W117" s="16">
        <f t="shared" si="55"/>
        <v>92</v>
      </c>
      <c r="X117" s="13">
        <f t="shared" si="56"/>
        <v>0</v>
      </c>
      <c r="Y117" s="14">
        <f t="shared" si="64"/>
        <v>0</v>
      </c>
      <c r="Z117" s="14">
        <f t="shared" si="65"/>
        <v>-9.81</v>
      </c>
      <c r="AA117" s="14">
        <f t="shared" si="66"/>
        <v>3.06287113727155E-17</v>
      </c>
      <c r="AB117" s="14">
        <f t="shared" si="67"/>
        <v>0.5</v>
      </c>
      <c r="AC117" s="14">
        <f t="shared" si="68"/>
        <v>3.06287113727155E-17</v>
      </c>
      <c r="AD117" s="14">
        <f t="shared" si="69"/>
        <v>0.5</v>
      </c>
      <c r="AE117" s="8">
        <f t="shared" si="70"/>
        <v>90</v>
      </c>
      <c r="AF117" s="14">
        <f t="shared" si="71"/>
        <v>0</v>
      </c>
      <c r="AG117" s="14">
        <f t="shared" si="72"/>
        <v>10</v>
      </c>
      <c r="AH117" s="25">
        <f t="shared" si="73"/>
        <v>0</v>
      </c>
      <c r="AI117" s="14">
        <f t="shared" si="74"/>
        <v>10</v>
      </c>
      <c r="AJ117" s="14"/>
      <c r="AK117" s="14"/>
      <c r="AL117" s="7"/>
      <c r="AN117" s="14">
        <f t="shared" si="75"/>
        <v>3.06287113727155E-17</v>
      </c>
      <c r="AO117" s="14">
        <f t="shared" si="76"/>
        <v>0.5</v>
      </c>
      <c r="AP117" s="14">
        <f t="shared" si="77"/>
        <v>0.5</v>
      </c>
      <c r="AQ117" s="8">
        <f t="shared" si="57"/>
        <v>9.8225</v>
      </c>
      <c r="AR117" s="8">
        <f t="shared" si="78"/>
        <v>9.81</v>
      </c>
      <c r="AS117" s="8">
        <f t="shared" si="79"/>
        <v>0.0125</v>
      </c>
      <c r="AT117" s="14">
        <f t="shared" si="80"/>
        <v>0</v>
      </c>
      <c r="AU117" s="26">
        <f t="shared" si="81"/>
        <v>0</v>
      </c>
      <c r="AV117" s="26">
        <f t="shared" si="82"/>
        <v>0</v>
      </c>
      <c r="AW117" s="26">
        <f t="shared" si="83"/>
        <v>0</v>
      </c>
      <c r="AX117" s="26">
        <f t="shared" si="84"/>
        <v>0</v>
      </c>
      <c r="AY117" s="26">
        <f t="shared" si="85"/>
        <v>-7.112366251504909E-16</v>
      </c>
    </row>
    <row r="118" spans="22:51" ht="15.75">
      <c r="V118" s="16">
        <v>93</v>
      </c>
      <c r="W118" s="16">
        <f t="shared" si="55"/>
        <v>93</v>
      </c>
      <c r="X118" s="13">
        <f t="shared" si="56"/>
        <v>0</v>
      </c>
      <c r="Y118" s="14">
        <f t="shared" si="64"/>
        <v>0</v>
      </c>
      <c r="Z118" s="14">
        <f t="shared" si="65"/>
        <v>-9.81</v>
      </c>
      <c r="AA118" s="14">
        <f t="shared" si="66"/>
        <v>3.06287113727155E-17</v>
      </c>
      <c r="AB118" s="14">
        <f t="shared" si="67"/>
        <v>0.5</v>
      </c>
      <c r="AC118" s="14">
        <f t="shared" si="68"/>
        <v>3.06287113727155E-17</v>
      </c>
      <c r="AD118" s="14">
        <f t="shared" si="69"/>
        <v>0.5</v>
      </c>
      <c r="AE118" s="8">
        <f t="shared" si="70"/>
        <v>90</v>
      </c>
      <c r="AF118" s="14">
        <f t="shared" si="71"/>
        <v>0</v>
      </c>
      <c r="AG118" s="14">
        <f t="shared" si="72"/>
        <v>10</v>
      </c>
      <c r="AH118" s="25">
        <f t="shared" si="73"/>
        <v>0</v>
      </c>
      <c r="AI118" s="14">
        <f t="shared" si="74"/>
        <v>10</v>
      </c>
      <c r="AJ118" s="14"/>
      <c r="AK118" s="14"/>
      <c r="AL118" s="7"/>
      <c r="AN118" s="14">
        <f t="shared" si="75"/>
        <v>3.06287113727155E-17</v>
      </c>
      <c r="AO118" s="14">
        <f t="shared" si="76"/>
        <v>0.5</v>
      </c>
      <c r="AP118" s="14">
        <f t="shared" si="77"/>
        <v>0.5</v>
      </c>
      <c r="AQ118" s="8">
        <f t="shared" si="57"/>
        <v>9.8225</v>
      </c>
      <c r="AR118" s="8">
        <f t="shared" si="78"/>
        <v>9.81</v>
      </c>
      <c r="AS118" s="8">
        <f t="shared" si="79"/>
        <v>0.0125</v>
      </c>
      <c r="AT118" s="14">
        <f t="shared" si="80"/>
        <v>0</v>
      </c>
      <c r="AU118" s="26">
        <f t="shared" si="81"/>
        <v>0</v>
      </c>
      <c r="AV118" s="26">
        <f t="shared" si="82"/>
        <v>0</v>
      </c>
      <c r="AW118" s="26">
        <f t="shared" si="83"/>
        <v>0</v>
      </c>
      <c r="AX118" s="26">
        <f t="shared" si="84"/>
        <v>0</v>
      </c>
      <c r="AY118" s="26">
        <f t="shared" si="85"/>
        <v>-7.112366251504909E-16</v>
      </c>
    </row>
    <row r="119" spans="22:51" ht="15.75">
      <c r="V119" s="16">
        <v>94</v>
      </c>
      <c r="W119" s="16">
        <f t="shared" si="55"/>
        <v>94</v>
      </c>
      <c r="X119" s="13">
        <f t="shared" si="56"/>
        <v>0</v>
      </c>
      <c r="Y119" s="14">
        <f t="shared" si="64"/>
        <v>0</v>
      </c>
      <c r="Z119" s="14">
        <f t="shared" si="65"/>
        <v>-9.81</v>
      </c>
      <c r="AA119" s="14">
        <f t="shared" si="66"/>
        <v>3.06287113727155E-17</v>
      </c>
      <c r="AB119" s="14">
        <f t="shared" si="67"/>
        <v>0.5</v>
      </c>
      <c r="AC119" s="14">
        <f t="shared" si="68"/>
        <v>3.06287113727155E-17</v>
      </c>
      <c r="AD119" s="14">
        <f t="shared" si="69"/>
        <v>0.5</v>
      </c>
      <c r="AE119" s="8">
        <f t="shared" si="70"/>
        <v>90</v>
      </c>
      <c r="AF119" s="14">
        <f t="shared" si="71"/>
        <v>0</v>
      </c>
      <c r="AG119" s="14">
        <f t="shared" si="72"/>
        <v>10</v>
      </c>
      <c r="AH119" s="25">
        <f t="shared" si="73"/>
        <v>0</v>
      </c>
      <c r="AI119" s="14">
        <f t="shared" si="74"/>
        <v>10</v>
      </c>
      <c r="AJ119" s="14"/>
      <c r="AK119" s="14"/>
      <c r="AL119" s="7"/>
      <c r="AN119" s="14">
        <f t="shared" si="75"/>
        <v>3.06287113727155E-17</v>
      </c>
      <c r="AO119" s="14">
        <f t="shared" si="76"/>
        <v>0.5</v>
      </c>
      <c r="AP119" s="14">
        <f t="shared" si="77"/>
        <v>0.5</v>
      </c>
      <c r="AQ119" s="8">
        <f t="shared" si="57"/>
        <v>9.8225</v>
      </c>
      <c r="AR119" s="8">
        <f t="shared" si="78"/>
        <v>9.81</v>
      </c>
      <c r="AS119" s="8">
        <f t="shared" si="79"/>
        <v>0.0125</v>
      </c>
      <c r="AT119" s="14">
        <f t="shared" si="80"/>
        <v>0</v>
      </c>
      <c r="AU119" s="26">
        <f t="shared" si="81"/>
        <v>0</v>
      </c>
      <c r="AV119" s="26">
        <f t="shared" si="82"/>
        <v>0</v>
      </c>
      <c r="AW119" s="26">
        <f t="shared" si="83"/>
        <v>0</v>
      </c>
      <c r="AX119" s="26">
        <f t="shared" si="84"/>
        <v>0</v>
      </c>
      <c r="AY119" s="26">
        <f t="shared" si="85"/>
        <v>-7.112366251504909E-16</v>
      </c>
    </row>
    <row r="120" spans="22:51" ht="15.75">
      <c r="V120" s="7">
        <v>95</v>
      </c>
      <c r="W120" s="16">
        <f t="shared" si="55"/>
        <v>95</v>
      </c>
      <c r="X120" s="13">
        <f t="shared" si="56"/>
        <v>0</v>
      </c>
      <c r="Y120" s="14">
        <f t="shared" si="64"/>
        <v>0</v>
      </c>
      <c r="Z120" s="14">
        <f t="shared" si="65"/>
        <v>-9.81</v>
      </c>
      <c r="AA120" s="14">
        <f t="shared" si="66"/>
        <v>3.06287113727155E-17</v>
      </c>
      <c r="AB120" s="14">
        <f t="shared" si="67"/>
        <v>0.5</v>
      </c>
      <c r="AC120" s="14">
        <f t="shared" si="68"/>
        <v>3.06287113727155E-17</v>
      </c>
      <c r="AD120" s="14">
        <f t="shared" si="69"/>
        <v>0.5</v>
      </c>
      <c r="AE120" s="8">
        <f t="shared" si="70"/>
        <v>90</v>
      </c>
      <c r="AF120" s="14">
        <f t="shared" si="71"/>
        <v>0</v>
      </c>
      <c r="AG120" s="14">
        <f t="shared" si="72"/>
        <v>10</v>
      </c>
      <c r="AH120" s="25">
        <f t="shared" si="73"/>
        <v>0</v>
      </c>
      <c r="AI120" s="14">
        <f t="shared" si="74"/>
        <v>10</v>
      </c>
      <c r="AJ120" s="14"/>
      <c r="AK120" s="14"/>
      <c r="AL120" s="7"/>
      <c r="AN120" s="14">
        <f t="shared" si="75"/>
        <v>3.06287113727155E-17</v>
      </c>
      <c r="AO120" s="14">
        <f t="shared" si="76"/>
        <v>0.5</v>
      </c>
      <c r="AP120" s="14">
        <f t="shared" si="77"/>
        <v>0.5</v>
      </c>
      <c r="AQ120" s="8">
        <f t="shared" si="57"/>
        <v>9.8225</v>
      </c>
      <c r="AR120" s="8">
        <f t="shared" si="78"/>
        <v>9.81</v>
      </c>
      <c r="AS120" s="8">
        <f t="shared" si="79"/>
        <v>0.0125</v>
      </c>
      <c r="AT120" s="14">
        <f t="shared" si="80"/>
        <v>0</v>
      </c>
      <c r="AU120" s="26">
        <f t="shared" si="81"/>
        <v>0</v>
      </c>
      <c r="AV120" s="26">
        <f t="shared" si="82"/>
        <v>0</v>
      </c>
      <c r="AW120" s="26">
        <f t="shared" si="83"/>
        <v>0</v>
      </c>
      <c r="AX120" s="26">
        <f t="shared" si="84"/>
        <v>0</v>
      </c>
      <c r="AY120" s="26">
        <f t="shared" si="85"/>
        <v>-7.112366251504909E-16</v>
      </c>
    </row>
    <row r="121" spans="22:51" ht="15.75">
      <c r="V121" s="16">
        <v>96</v>
      </c>
      <c r="W121" s="16">
        <f t="shared" si="55"/>
        <v>96</v>
      </c>
      <c r="X121" s="13">
        <f t="shared" si="56"/>
        <v>0</v>
      </c>
      <c r="Y121" s="14">
        <f t="shared" si="64"/>
        <v>0</v>
      </c>
      <c r="Z121" s="14">
        <f t="shared" si="65"/>
        <v>-9.81</v>
      </c>
      <c r="AA121" s="14">
        <f t="shared" si="66"/>
        <v>3.06287113727155E-17</v>
      </c>
      <c r="AB121" s="14">
        <f t="shared" si="67"/>
        <v>0.5</v>
      </c>
      <c r="AC121" s="14">
        <f t="shared" si="68"/>
        <v>3.06287113727155E-17</v>
      </c>
      <c r="AD121" s="14">
        <f t="shared" si="69"/>
        <v>0.5</v>
      </c>
      <c r="AE121" s="8">
        <f t="shared" si="70"/>
        <v>90</v>
      </c>
      <c r="AF121" s="14">
        <f t="shared" si="71"/>
        <v>0</v>
      </c>
      <c r="AG121" s="14">
        <f t="shared" si="72"/>
        <v>10</v>
      </c>
      <c r="AH121" s="25">
        <f t="shared" si="73"/>
        <v>0</v>
      </c>
      <c r="AI121" s="14">
        <f t="shared" si="74"/>
        <v>10</v>
      </c>
      <c r="AJ121" s="14"/>
      <c r="AK121" s="14"/>
      <c r="AL121" s="7"/>
      <c r="AN121" s="14">
        <f t="shared" si="75"/>
        <v>3.06287113727155E-17</v>
      </c>
      <c r="AO121" s="14">
        <f t="shared" si="76"/>
        <v>0.5</v>
      </c>
      <c r="AP121" s="14">
        <f t="shared" si="77"/>
        <v>0.5</v>
      </c>
      <c r="AQ121" s="8">
        <f t="shared" si="57"/>
        <v>9.8225</v>
      </c>
      <c r="AR121" s="8">
        <f t="shared" si="78"/>
        <v>9.81</v>
      </c>
      <c r="AS121" s="8">
        <f t="shared" si="79"/>
        <v>0.0125</v>
      </c>
      <c r="AT121" s="14">
        <f t="shared" si="80"/>
        <v>0</v>
      </c>
      <c r="AU121" s="26">
        <f t="shared" si="81"/>
        <v>0</v>
      </c>
      <c r="AV121" s="26">
        <f t="shared" si="82"/>
        <v>0</v>
      </c>
      <c r="AW121" s="26">
        <f t="shared" si="83"/>
        <v>0</v>
      </c>
      <c r="AX121" s="26">
        <f t="shared" si="84"/>
        <v>0</v>
      </c>
      <c r="AY121" s="26">
        <f t="shared" si="85"/>
        <v>-7.112366251504909E-16</v>
      </c>
    </row>
    <row r="122" spans="22:51" ht="15.75">
      <c r="V122" s="16">
        <v>97</v>
      </c>
      <c r="W122" s="16">
        <f t="shared" si="55"/>
        <v>97</v>
      </c>
      <c r="X122" s="13">
        <f t="shared" si="56"/>
        <v>0</v>
      </c>
      <c r="Y122" s="14">
        <f t="shared" si="64"/>
        <v>0</v>
      </c>
      <c r="Z122" s="14">
        <f t="shared" si="65"/>
        <v>-9.81</v>
      </c>
      <c r="AA122" s="14">
        <f t="shared" si="66"/>
        <v>3.06287113727155E-17</v>
      </c>
      <c r="AB122" s="14">
        <f t="shared" si="67"/>
        <v>0.5</v>
      </c>
      <c r="AC122" s="14">
        <f t="shared" si="68"/>
        <v>3.06287113727155E-17</v>
      </c>
      <c r="AD122" s="14">
        <f t="shared" si="69"/>
        <v>0.5</v>
      </c>
      <c r="AE122" s="8">
        <f t="shared" si="70"/>
        <v>90</v>
      </c>
      <c r="AF122" s="14">
        <f t="shared" si="71"/>
        <v>0</v>
      </c>
      <c r="AG122" s="14">
        <f t="shared" si="72"/>
        <v>10</v>
      </c>
      <c r="AH122" s="25">
        <f t="shared" si="73"/>
        <v>0</v>
      </c>
      <c r="AI122" s="14">
        <f t="shared" si="74"/>
        <v>10</v>
      </c>
      <c r="AJ122" s="14"/>
      <c r="AK122" s="14"/>
      <c r="AL122" s="7"/>
      <c r="AN122" s="14">
        <f t="shared" si="75"/>
        <v>3.06287113727155E-17</v>
      </c>
      <c r="AO122" s="14">
        <f t="shared" si="76"/>
        <v>0.5</v>
      </c>
      <c r="AP122" s="14">
        <f t="shared" si="77"/>
        <v>0.5</v>
      </c>
      <c r="AQ122" s="8">
        <f t="shared" si="57"/>
        <v>9.8225</v>
      </c>
      <c r="AR122" s="8">
        <f t="shared" si="78"/>
        <v>9.81</v>
      </c>
      <c r="AS122" s="8">
        <f t="shared" si="79"/>
        <v>0.0125</v>
      </c>
      <c r="AT122" s="14">
        <f t="shared" si="80"/>
        <v>0</v>
      </c>
      <c r="AU122" s="26">
        <f t="shared" si="81"/>
        <v>0</v>
      </c>
      <c r="AV122" s="26">
        <f t="shared" si="82"/>
        <v>0</v>
      </c>
      <c r="AW122" s="26">
        <f t="shared" si="83"/>
        <v>0</v>
      </c>
      <c r="AX122" s="26">
        <f t="shared" si="84"/>
        <v>0</v>
      </c>
      <c r="AY122" s="26">
        <f t="shared" si="85"/>
        <v>-7.112366251504909E-16</v>
      </c>
    </row>
    <row r="123" spans="22:51" ht="15.75">
      <c r="V123" s="7">
        <v>98</v>
      </c>
      <c r="W123" s="16">
        <f t="shared" si="55"/>
        <v>98</v>
      </c>
      <c r="X123" s="13">
        <f t="shared" si="56"/>
        <v>0</v>
      </c>
      <c r="Y123" s="14">
        <f t="shared" si="64"/>
        <v>0</v>
      </c>
      <c r="Z123" s="14">
        <f t="shared" si="65"/>
        <v>-9.81</v>
      </c>
      <c r="AA123" s="14">
        <f t="shared" si="66"/>
        <v>3.06287113727155E-17</v>
      </c>
      <c r="AB123" s="14">
        <f t="shared" si="67"/>
        <v>0.5</v>
      </c>
      <c r="AC123" s="14">
        <f t="shared" si="68"/>
        <v>3.06287113727155E-17</v>
      </c>
      <c r="AD123" s="14">
        <f t="shared" si="69"/>
        <v>0.5</v>
      </c>
      <c r="AE123" s="8">
        <f t="shared" si="70"/>
        <v>90</v>
      </c>
      <c r="AF123" s="14">
        <f t="shared" si="71"/>
        <v>0</v>
      </c>
      <c r="AG123" s="14">
        <f t="shared" si="72"/>
        <v>10</v>
      </c>
      <c r="AH123" s="25">
        <f t="shared" si="73"/>
        <v>0</v>
      </c>
      <c r="AI123" s="14">
        <f t="shared" si="74"/>
        <v>10</v>
      </c>
      <c r="AJ123" s="14"/>
      <c r="AK123" s="14"/>
      <c r="AL123" s="7"/>
      <c r="AN123" s="14">
        <f t="shared" si="75"/>
        <v>3.06287113727155E-17</v>
      </c>
      <c r="AO123" s="14">
        <f t="shared" si="76"/>
        <v>0.5</v>
      </c>
      <c r="AP123" s="14">
        <f t="shared" si="77"/>
        <v>0.5</v>
      </c>
      <c r="AQ123" s="8">
        <f t="shared" si="57"/>
        <v>9.8225</v>
      </c>
      <c r="AR123" s="8">
        <f t="shared" si="78"/>
        <v>9.81</v>
      </c>
      <c r="AS123" s="8">
        <f t="shared" si="79"/>
        <v>0.0125</v>
      </c>
      <c r="AT123" s="14">
        <f t="shared" si="80"/>
        <v>0</v>
      </c>
      <c r="AU123" s="26">
        <f t="shared" si="81"/>
        <v>0</v>
      </c>
      <c r="AV123" s="26">
        <f t="shared" si="82"/>
        <v>0</v>
      </c>
      <c r="AW123" s="26">
        <f t="shared" si="83"/>
        <v>0</v>
      </c>
      <c r="AX123" s="26">
        <f t="shared" si="84"/>
        <v>0</v>
      </c>
      <c r="AY123" s="26">
        <f t="shared" si="85"/>
        <v>-7.112366251504909E-16</v>
      </c>
    </row>
    <row r="124" spans="22:51" ht="15.75">
      <c r="V124" s="16">
        <v>99</v>
      </c>
      <c r="W124" s="16">
        <f t="shared" si="55"/>
        <v>99</v>
      </c>
      <c r="X124" s="13">
        <f t="shared" si="56"/>
        <v>0</v>
      </c>
      <c r="Y124" s="14">
        <f t="shared" si="64"/>
        <v>0</v>
      </c>
      <c r="Z124" s="14">
        <f t="shared" si="65"/>
        <v>-9.81</v>
      </c>
      <c r="AA124" s="14">
        <f t="shared" si="66"/>
        <v>3.06287113727155E-17</v>
      </c>
      <c r="AB124" s="14">
        <f t="shared" si="67"/>
        <v>0.5</v>
      </c>
      <c r="AC124" s="14">
        <f t="shared" si="68"/>
        <v>3.06287113727155E-17</v>
      </c>
      <c r="AD124" s="14">
        <f t="shared" si="69"/>
        <v>0.5</v>
      </c>
      <c r="AE124" s="8">
        <f t="shared" si="70"/>
        <v>90</v>
      </c>
      <c r="AF124" s="14">
        <f t="shared" si="71"/>
        <v>0</v>
      </c>
      <c r="AG124" s="14">
        <f t="shared" si="72"/>
        <v>10</v>
      </c>
      <c r="AH124" s="25">
        <f t="shared" si="73"/>
        <v>0</v>
      </c>
      <c r="AI124" s="14">
        <f t="shared" si="74"/>
        <v>10</v>
      </c>
      <c r="AJ124" s="14"/>
      <c r="AK124" s="14"/>
      <c r="AL124" s="7"/>
      <c r="AN124" s="14">
        <f t="shared" si="75"/>
        <v>3.06287113727155E-17</v>
      </c>
      <c r="AO124" s="14">
        <f t="shared" si="76"/>
        <v>0.5</v>
      </c>
      <c r="AP124" s="14">
        <f t="shared" si="77"/>
        <v>0.5</v>
      </c>
      <c r="AQ124" s="8">
        <f t="shared" si="57"/>
        <v>9.8225</v>
      </c>
      <c r="AR124" s="8">
        <f t="shared" si="78"/>
        <v>9.81</v>
      </c>
      <c r="AS124" s="8">
        <f t="shared" si="79"/>
        <v>0.0125</v>
      </c>
      <c r="AT124" s="14">
        <f t="shared" si="80"/>
        <v>0</v>
      </c>
      <c r="AU124" s="26">
        <f t="shared" si="81"/>
        <v>0</v>
      </c>
      <c r="AV124" s="26">
        <f t="shared" si="82"/>
        <v>0</v>
      </c>
      <c r="AW124" s="26">
        <f t="shared" si="83"/>
        <v>0</v>
      </c>
      <c r="AX124" s="26">
        <f t="shared" si="84"/>
        <v>0</v>
      </c>
      <c r="AY124" s="26">
        <f t="shared" si="85"/>
        <v>-7.112366251504909E-16</v>
      </c>
    </row>
    <row r="125" spans="22:51" ht="15.75">
      <c r="V125" s="16">
        <v>100</v>
      </c>
      <c r="W125" s="16">
        <f t="shared" si="55"/>
        <v>100</v>
      </c>
      <c r="X125" s="13">
        <f t="shared" si="56"/>
        <v>0</v>
      </c>
      <c r="Y125" s="14">
        <f t="shared" si="64"/>
        <v>0</v>
      </c>
      <c r="Z125" s="14">
        <f t="shared" si="65"/>
        <v>-9.81</v>
      </c>
      <c r="AA125" s="14">
        <f t="shared" si="66"/>
        <v>3.06287113727155E-17</v>
      </c>
      <c r="AB125" s="14">
        <f t="shared" si="67"/>
        <v>0.5</v>
      </c>
      <c r="AC125" s="14">
        <f t="shared" si="68"/>
        <v>3.06287113727155E-17</v>
      </c>
      <c r="AD125" s="14">
        <f t="shared" si="69"/>
        <v>0.5</v>
      </c>
      <c r="AE125" s="8">
        <f t="shared" si="70"/>
        <v>90</v>
      </c>
      <c r="AF125" s="14">
        <f t="shared" si="71"/>
        <v>0</v>
      </c>
      <c r="AG125" s="14">
        <f t="shared" si="72"/>
        <v>10</v>
      </c>
      <c r="AH125" s="25">
        <f t="shared" si="73"/>
        <v>0</v>
      </c>
      <c r="AI125" s="14">
        <f t="shared" si="74"/>
        <v>10</v>
      </c>
      <c r="AJ125" s="14"/>
      <c r="AK125" s="14"/>
      <c r="AL125" s="7"/>
      <c r="AN125" s="14">
        <f t="shared" si="75"/>
        <v>3.06287113727155E-17</v>
      </c>
      <c r="AO125" s="14">
        <f t="shared" si="76"/>
        <v>0.5</v>
      </c>
      <c r="AP125" s="14">
        <f t="shared" si="77"/>
        <v>0.5</v>
      </c>
      <c r="AQ125" s="8">
        <f t="shared" si="57"/>
        <v>9.8225</v>
      </c>
      <c r="AR125" s="8">
        <f t="shared" si="78"/>
        <v>9.81</v>
      </c>
      <c r="AS125" s="8">
        <f t="shared" si="79"/>
        <v>0.0125</v>
      </c>
      <c r="AT125" s="14">
        <f t="shared" si="80"/>
        <v>0</v>
      </c>
      <c r="AU125" s="26">
        <f t="shared" si="81"/>
        <v>0</v>
      </c>
      <c r="AV125" s="26">
        <f t="shared" si="82"/>
        <v>0</v>
      </c>
      <c r="AW125" s="26">
        <f t="shared" si="83"/>
        <v>0</v>
      </c>
      <c r="AX125" s="26">
        <f t="shared" si="84"/>
        <v>0</v>
      </c>
      <c r="AY125" s="26">
        <f t="shared" si="85"/>
        <v>-7.112366251504909E-16</v>
      </c>
    </row>
    <row r="126" spans="22:35" ht="15.75">
      <c r="V126" s="16"/>
      <c r="W126" s="16"/>
      <c r="X126" s="14"/>
      <c r="Y126" s="14"/>
      <c r="Z126" s="14"/>
      <c r="AA126" s="14"/>
      <c r="AB126" s="14"/>
      <c r="AC126" s="14"/>
      <c r="AD126" s="14"/>
      <c r="AE126" s="16"/>
      <c r="AF126" s="14"/>
      <c r="AG126" s="14"/>
      <c r="AH126" s="25"/>
      <c r="AI126" s="14"/>
    </row>
    <row r="127" spans="22:35" ht="15.75">
      <c r="V127" s="16"/>
      <c r="W127" s="16"/>
      <c r="X127" s="14"/>
      <c r="Y127" s="14"/>
      <c r="Z127" s="14"/>
      <c r="AA127" s="14"/>
      <c r="AB127" s="14"/>
      <c r="AC127" s="14"/>
      <c r="AD127" s="14"/>
      <c r="AE127" s="16"/>
      <c r="AF127" s="14"/>
      <c r="AG127" s="14"/>
      <c r="AH127" s="25"/>
      <c r="AI127" s="14"/>
    </row>
    <row r="128" spans="22:35" ht="15.75">
      <c r="V128" s="16"/>
      <c r="W128" s="16"/>
      <c r="X128" s="14"/>
      <c r="Y128" s="14"/>
      <c r="Z128" s="14"/>
      <c r="AA128" s="14"/>
      <c r="AB128" s="14"/>
      <c r="AC128" s="14"/>
      <c r="AD128" s="14"/>
      <c r="AE128" s="16"/>
      <c r="AF128" s="14"/>
      <c r="AG128" s="14"/>
      <c r="AH128" s="25"/>
      <c r="AI128" s="14"/>
    </row>
    <row r="129" spans="22:35" ht="15.75">
      <c r="V129" s="16"/>
      <c r="W129" s="16"/>
      <c r="X129" s="14"/>
      <c r="Y129" s="14"/>
      <c r="Z129" s="14"/>
      <c r="AA129" s="14"/>
      <c r="AB129" s="14"/>
      <c r="AC129" s="14"/>
      <c r="AD129" s="14"/>
      <c r="AE129" s="16"/>
      <c r="AF129" s="14"/>
      <c r="AG129" s="14"/>
      <c r="AH129" s="25"/>
      <c r="AI129" s="14"/>
    </row>
    <row r="130" spans="22:35" ht="15.75">
      <c r="V130" s="16"/>
      <c r="W130" s="16"/>
      <c r="X130" s="14"/>
      <c r="Y130" s="14"/>
      <c r="Z130" s="14"/>
      <c r="AA130" s="14"/>
      <c r="AB130" s="14"/>
      <c r="AC130" s="14"/>
      <c r="AD130" s="14"/>
      <c r="AE130" s="16"/>
      <c r="AF130" s="14"/>
      <c r="AG130" s="14"/>
      <c r="AH130" s="25"/>
      <c r="AI130" s="14"/>
    </row>
    <row r="131" spans="22:35" ht="15.75">
      <c r="V131" s="16"/>
      <c r="W131" s="16"/>
      <c r="X131" s="14"/>
      <c r="Y131" s="14"/>
      <c r="Z131" s="14"/>
      <c r="AA131" s="14"/>
      <c r="AB131" s="14"/>
      <c r="AC131" s="14"/>
      <c r="AD131" s="14"/>
      <c r="AE131" s="16"/>
      <c r="AF131" s="14"/>
      <c r="AG131" s="14"/>
      <c r="AH131" s="25"/>
      <c r="AI131" s="14"/>
    </row>
    <row r="132" spans="22:35" ht="15.75">
      <c r="V132" s="16"/>
      <c r="W132" s="16"/>
      <c r="X132" s="14"/>
      <c r="Y132" s="14"/>
      <c r="Z132" s="14"/>
      <c r="AA132" s="14"/>
      <c r="AB132" s="14"/>
      <c r="AC132" s="14"/>
      <c r="AD132" s="14"/>
      <c r="AE132" s="16"/>
      <c r="AF132" s="14"/>
      <c r="AG132" s="14"/>
      <c r="AH132" s="25"/>
      <c r="AI132" s="14"/>
    </row>
    <row r="133" spans="22:35" ht="15.75">
      <c r="V133" s="16"/>
      <c r="W133" s="16"/>
      <c r="X133" s="14"/>
      <c r="Y133" s="14"/>
      <c r="Z133" s="14"/>
      <c r="AA133" s="14"/>
      <c r="AB133" s="14"/>
      <c r="AC133" s="14"/>
      <c r="AD133" s="14"/>
      <c r="AE133" s="16"/>
      <c r="AF133" s="14"/>
      <c r="AG133" s="14"/>
      <c r="AH133" s="25"/>
      <c r="AI133" s="14"/>
    </row>
    <row r="134" spans="22:35" ht="15.75">
      <c r="V134" s="16"/>
      <c r="W134" s="16"/>
      <c r="X134" s="14"/>
      <c r="Y134" s="14"/>
      <c r="Z134" s="14"/>
      <c r="AA134" s="14"/>
      <c r="AB134" s="14"/>
      <c r="AC134" s="14"/>
      <c r="AD134" s="14"/>
      <c r="AE134" s="16"/>
      <c r="AF134" s="14"/>
      <c r="AG134" s="14"/>
      <c r="AH134" s="25"/>
      <c r="AI134" s="14"/>
    </row>
    <row r="135" spans="22:35" ht="15.75">
      <c r="V135" s="16"/>
      <c r="W135" s="16"/>
      <c r="X135" s="14"/>
      <c r="Y135" s="14"/>
      <c r="Z135" s="14"/>
      <c r="AA135" s="14"/>
      <c r="AB135" s="14"/>
      <c r="AC135" s="14"/>
      <c r="AD135" s="14"/>
      <c r="AE135" s="16"/>
      <c r="AF135" s="14"/>
      <c r="AG135" s="14"/>
      <c r="AH135" s="25"/>
      <c r="AI135" s="14"/>
    </row>
    <row r="136" spans="22:35" ht="15.75">
      <c r="V136" s="16"/>
      <c r="W136" s="16"/>
      <c r="X136" s="14"/>
      <c r="Y136" s="14"/>
      <c r="Z136" s="14"/>
      <c r="AA136" s="14"/>
      <c r="AB136" s="14"/>
      <c r="AC136" s="14"/>
      <c r="AD136" s="14"/>
      <c r="AE136" s="16"/>
      <c r="AF136" s="14"/>
      <c r="AG136" s="14"/>
      <c r="AH136" s="25"/>
      <c r="AI136" s="14"/>
    </row>
    <row r="137" spans="22:35" ht="15.75">
      <c r="V137" s="16"/>
      <c r="W137" s="16"/>
      <c r="X137" s="14"/>
      <c r="Y137" s="14"/>
      <c r="Z137" s="14"/>
      <c r="AA137" s="14"/>
      <c r="AB137" s="14"/>
      <c r="AC137" s="14"/>
      <c r="AD137" s="14"/>
      <c r="AE137" s="16"/>
      <c r="AF137" s="14"/>
      <c r="AG137" s="14"/>
      <c r="AH137" s="25"/>
      <c r="AI137" s="14"/>
    </row>
    <row r="138" spans="22:35" ht="15.75">
      <c r="V138" s="16"/>
      <c r="W138" s="16"/>
      <c r="X138" s="14"/>
      <c r="Y138" s="14"/>
      <c r="Z138" s="14"/>
      <c r="AA138" s="14"/>
      <c r="AB138" s="14"/>
      <c r="AC138" s="14"/>
      <c r="AD138" s="14"/>
      <c r="AE138" s="16"/>
      <c r="AF138" s="14"/>
      <c r="AG138" s="14"/>
      <c r="AH138" s="25"/>
      <c r="AI138" s="14"/>
    </row>
    <row r="139" spans="22:35" ht="15.75">
      <c r="V139" s="16"/>
      <c r="W139" s="16"/>
      <c r="X139" s="14"/>
      <c r="Y139" s="14"/>
      <c r="Z139" s="14"/>
      <c r="AA139" s="14"/>
      <c r="AB139" s="14"/>
      <c r="AC139" s="14"/>
      <c r="AD139" s="14"/>
      <c r="AE139" s="16"/>
      <c r="AF139" s="14"/>
      <c r="AG139" s="14"/>
      <c r="AH139" s="25"/>
      <c r="AI139" s="14"/>
    </row>
    <row r="140" spans="22:35" ht="15.75">
      <c r="V140" s="16"/>
      <c r="W140" s="16"/>
      <c r="X140" s="14"/>
      <c r="Y140" s="14"/>
      <c r="Z140" s="14"/>
      <c r="AA140" s="14"/>
      <c r="AB140" s="14"/>
      <c r="AC140" s="14"/>
      <c r="AD140" s="14"/>
      <c r="AE140" s="16"/>
      <c r="AF140" s="14"/>
      <c r="AG140" s="14"/>
      <c r="AH140" s="25"/>
      <c r="AI140" s="14"/>
    </row>
    <row r="141" spans="22:35" ht="15.75">
      <c r="V141" s="16"/>
      <c r="W141" s="16"/>
      <c r="X141" s="14"/>
      <c r="Y141" s="14"/>
      <c r="Z141" s="14"/>
      <c r="AA141" s="14"/>
      <c r="AB141" s="14"/>
      <c r="AC141" s="14"/>
      <c r="AD141" s="14"/>
      <c r="AE141" s="16"/>
      <c r="AF141" s="14"/>
      <c r="AG141" s="14"/>
      <c r="AH141" s="25"/>
      <c r="AI141" s="14"/>
    </row>
    <row r="142" spans="22:35" ht="15.75">
      <c r="V142" s="16"/>
      <c r="W142" s="16"/>
      <c r="X142" s="14"/>
      <c r="Y142" s="14"/>
      <c r="Z142" s="14"/>
      <c r="AA142" s="14"/>
      <c r="AB142" s="14"/>
      <c r="AC142" s="14"/>
      <c r="AD142" s="14"/>
      <c r="AE142" s="16"/>
      <c r="AF142" s="14"/>
      <c r="AG142" s="14"/>
      <c r="AH142" s="25"/>
      <c r="AI142" s="14"/>
    </row>
    <row r="143" spans="22:35" ht="15.75">
      <c r="V143" s="16"/>
      <c r="W143" s="16"/>
      <c r="X143" s="14"/>
      <c r="Y143" s="14"/>
      <c r="Z143" s="14"/>
      <c r="AA143" s="14"/>
      <c r="AB143" s="14"/>
      <c r="AC143" s="14"/>
      <c r="AD143" s="14"/>
      <c r="AE143" s="16"/>
      <c r="AF143" s="14"/>
      <c r="AG143" s="14"/>
      <c r="AH143" s="25"/>
      <c r="AI143" s="14"/>
    </row>
    <row r="144" spans="22:35" ht="15.75">
      <c r="V144" s="16"/>
      <c r="W144" s="16"/>
      <c r="X144" s="14"/>
      <c r="Y144" s="14"/>
      <c r="Z144" s="14"/>
      <c r="AA144" s="14"/>
      <c r="AB144" s="14"/>
      <c r="AC144" s="14"/>
      <c r="AD144" s="14"/>
      <c r="AE144" s="16"/>
      <c r="AF144" s="14"/>
      <c r="AG144" s="14"/>
      <c r="AH144" s="25"/>
      <c r="AI144" s="14"/>
    </row>
    <row r="145" spans="22:35" ht="15.75">
      <c r="V145" s="16"/>
      <c r="W145" s="16"/>
      <c r="X145" s="14"/>
      <c r="Y145" s="14"/>
      <c r="Z145" s="14"/>
      <c r="AA145" s="14"/>
      <c r="AB145" s="14"/>
      <c r="AC145" s="14"/>
      <c r="AD145" s="14"/>
      <c r="AE145" s="16"/>
      <c r="AF145" s="14"/>
      <c r="AG145" s="14"/>
      <c r="AH145" s="25"/>
      <c r="AI145" s="14"/>
    </row>
    <row r="146" spans="22:35" ht="15.75">
      <c r="V146" s="16"/>
      <c r="W146" s="16"/>
      <c r="X146" s="14"/>
      <c r="Y146" s="14"/>
      <c r="Z146" s="14"/>
      <c r="AA146" s="14"/>
      <c r="AB146" s="14"/>
      <c r="AC146" s="14"/>
      <c r="AD146" s="14"/>
      <c r="AE146" s="16"/>
      <c r="AF146" s="14"/>
      <c r="AG146" s="14"/>
      <c r="AH146" s="25"/>
      <c r="AI146" s="14"/>
    </row>
    <row r="147" spans="22:35" ht="15.75">
      <c r="V147" s="16"/>
      <c r="W147" s="16"/>
      <c r="X147" s="14"/>
      <c r="Y147" s="14"/>
      <c r="Z147" s="14"/>
      <c r="AA147" s="14"/>
      <c r="AB147" s="14"/>
      <c r="AC147" s="14"/>
      <c r="AD147" s="14"/>
      <c r="AE147" s="16"/>
      <c r="AF147" s="14"/>
      <c r="AG147" s="14"/>
      <c r="AH147" s="25"/>
      <c r="AI147" s="14"/>
    </row>
    <row r="148" spans="22:35" ht="15.75">
      <c r="V148" s="16"/>
      <c r="W148" s="16"/>
      <c r="X148" s="14"/>
      <c r="Y148" s="14"/>
      <c r="Z148" s="14"/>
      <c r="AA148" s="14"/>
      <c r="AB148" s="14"/>
      <c r="AC148" s="14"/>
      <c r="AD148" s="14"/>
      <c r="AE148" s="16"/>
      <c r="AF148" s="14"/>
      <c r="AG148" s="14"/>
      <c r="AH148" s="25"/>
      <c r="AI148" s="14"/>
    </row>
    <row r="149" spans="22:35" ht="15.75">
      <c r="V149" s="16"/>
      <c r="W149" s="16"/>
      <c r="X149" s="14"/>
      <c r="Y149" s="14"/>
      <c r="Z149" s="14"/>
      <c r="AA149" s="14"/>
      <c r="AB149" s="14"/>
      <c r="AC149" s="14"/>
      <c r="AD149" s="14"/>
      <c r="AE149" s="16"/>
      <c r="AF149" s="14"/>
      <c r="AG149" s="14"/>
      <c r="AH149" s="25"/>
      <c r="AI149" s="14"/>
    </row>
  </sheetData>
  <sheetProtection selectLockedCells="1"/>
  <conditionalFormatting sqref="AG14:AI17">
    <cfRule type="expression" priority="1" dxfId="0" stopIfTrue="1">
      <formula>$X14&gt;=$W$19</formula>
    </cfRule>
  </conditionalFormatting>
  <conditionalFormatting sqref="V150:AI154">
    <cfRule type="expression" priority="2" dxfId="0" stopIfTrue="1">
      <formula>$AA150&lt;=0</formula>
    </cfRule>
  </conditionalFormatting>
  <conditionalFormatting sqref="AJ25:AX125 V25:AI149">
    <cfRule type="expression" priority="3" dxfId="0" stopIfTrue="1">
      <formula>AND($AA25&lt;0,$AF25&lt;$N$3)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6"/>
  <dimension ref="B2:IU280"/>
  <sheetViews>
    <sheetView showGridLines="0" showRowColHeaders="0" workbookViewId="0" topLeftCell="A1">
      <selection activeCell="S25" sqref="S25"/>
    </sheetView>
  </sheetViews>
  <sheetFormatPr defaultColWidth="9.140625" defaultRowHeight="12.75"/>
  <cols>
    <col min="1" max="1" width="1.421875" style="1" customWidth="1"/>
    <col min="2" max="2" width="7.00390625" style="1" bestFit="1" customWidth="1"/>
    <col min="3" max="3" width="14.421875" style="1" bestFit="1" customWidth="1"/>
    <col min="4" max="4" width="3.421875" style="1" bestFit="1" customWidth="1"/>
    <col min="5" max="5" width="9.57421875" style="1" customWidth="1"/>
    <col min="6" max="6" width="3.57421875" style="1" customWidth="1"/>
    <col min="7" max="7" width="8.57421875" style="1" bestFit="1" customWidth="1"/>
    <col min="8" max="8" width="12.140625" style="1" bestFit="1" customWidth="1"/>
    <col min="9" max="9" width="4.00390625" style="1" bestFit="1" customWidth="1"/>
    <col min="10" max="10" width="9.28125" style="1" customWidth="1"/>
    <col min="11" max="11" width="3.57421875" style="1" customWidth="1"/>
    <col min="12" max="12" width="4.57421875" style="1" customWidth="1"/>
    <col min="13" max="13" width="14.7109375" style="1" customWidth="1"/>
    <col min="14" max="14" width="12.140625" style="1" bestFit="1" customWidth="1"/>
    <col min="15" max="15" width="2.7109375" style="1" bestFit="1" customWidth="1"/>
    <col min="16" max="16" width="9.421875" style="1" customWidth="1"/>
    <col min="17" max="17" width="14.7109375" style="1" bestFit="1" customWidth="1"/>
    <col min="18" max="21" width="14.7109375" style="1" customWidth="1"/>
    <col min="22" max="22" width="20.7109375" style="1" bestFit="1" customWidth="1"/>
    <col min="23" max="23" width="16.7109375" style="1" bestFit="1" customWidth="1"/>
    <col min="24" max="24" width="12.140625" style="1" bestFit="1" customWidth="1"/>
    <col min="25" max="25" width="10.140625" style="1" bestFit="1" customWidth="1"/>
    <col min="26" max="26" width="12.57421875" style="1" bestFit="1" customWidth="1"/>
    <col min="27" max="27" width="12.00390625" style="1" bestFit="1" customWidth="1"/>
    <col min="28" max="28" width="10.00390625" style="1" bestFit="1" customWidth="1"/>
    <col min="29" max="29" width="9.8515625" style="1" customWidth="1"/>
    <col min="30" max="30" width="12.28125" style="1" bestFit="1" customWidth="1"/>
    <col min="31" max="31" width="10.140625" style="1" bestFit="1" customWidth="1"/>
    <col min="32" max="32" width="16.7109375" style="1" bestFit="1" customWidth="1"/>
    <col min="33" max="33" width="12.57421875" style="1" bestFit="1" customWidth="1"/>
    <col min="34" max="34" width="10.421875" style="3" bestFit="1" customWidth="1"/>
    <col min="35" max="37" width="12.421875" style="1" customWidth="1"/>
    <col min="38" max="38" width="15.28125" style="1" bestFit="1" customWidth="1"/>
    <col min="39" max="39" width="11.140625" style="1" bestFit="1" customWidth="1"/>
    <col min="40" max="40" width="10.00390625" style="1" bestFit="1" customWidth="1"/>
    <col min="41" max="41" width="14.7109375" style="1" bestFit="1" customWidth="1"/>
    <col min="42" max="42" width="10.57421875" style="1" bestFit="1" customWidth="1"/>
    <col min="43" max="43" width="10.140625" style="1" bestFit="1" customWidth="1"/>
    <col min="44" max="45" width="10.00390625" style="1" customWidth="1"/>
    <col min="46" max="46" width="9.28125" style="1" bestFit="1" customWidth="1"/>
    <col min="47" max="47" width="10.8515625" style="1" bestFit="1" customWidth="1"/>
    <col min="48" max="50" width="10.7109375" style="1" customWidth="1"/>
    <col min="51" max="51" width="10.421875" style="1" bestFit="1" customWidth="1"/>
    <col min="52" max="16384" width="9.140625" style="1" customWidth="1"/>
  </cols>
  <sheetData>
    <row r="1" ht="7.5" customHeight="1"/>
    <row r="2" spans="2:16" ht="15.75">
      <c r="B2" s="43" t="s">
        <v>110</v>
      </c>
      <c r="G2" s="43" t="s">
        <v>108</v>
      </c>
      <c r="M2" s="46"/>
      <c r="N2" s="47"/>
      <c r="O2" s="47"/>
      <c r="P2" s="47"/>
    </row>
    <row r="3" spans="2:255" ht="18.75" customHeight="1">
      <c r="B3" s="33" t="s">
        <v>107</v>
      </c>
      <c r="C3" s="44">
        <f>E3*0.01</f>
        <v>0.07</v>
      </c>
      <c r="D3" s="39" t="s">
        <v>105</v>
      </c>
      <c r="E3" s="1">
        <v>7</v>
      </c>
      <c r="G3" s="33" t="s">
        <v>3</v>
      </c>
      <c r="H3" s="34">
        <f>J3/2</f>
        <v>10</v>
      </c>
      <c r="I3" s="33" t="s">
        <v>5</v>
      </c>
      <c r="J3" s="5">
        <v>20</v>
      </c>
      <c r="K3" s="2"/>
      <c r="M3" s="48"/>
      <c r="N3" s="49"/>
      <c r="O3" s="49"/>
      <c r="P3" s="48"/>
      <c r="AL3" s="6"/>
      <c r="IU3" s="1">
        <v>6</v>
      </c>
    </row>
    <row r="4" spans="2:23" ht="18.75" customHeight="1">
      <c r="B4" s="35" t="s">
        <v>1</v>
      </c>
      <c r="C4" s="40">
        <f>E4*0.001</f>
        <v>0.10200000000000001</v>
      </c>
      <c r="D4" s="40" t="s">
        <v>106</v>
      </c>
      <c r="E4" s="2">
        <v>102</v>
      </c>
      <c r="F4" s="2"/>
      <c r="G4" s="35" t="s">
        <v>4</v>
      </c>
      <c r="H4" s="36">
        <f>0+20*J4/40</f>
        <v>0</v>
      </c>
      <c r="I4" s="35" t="s">
        <v>6</v>
      </c>
      <c r="J4" s="5">
        <v>0</v>
      </c>
      <c r="K4" s="2"/>
      <c r="L4" s="2"/>
      <c r="V4" s="7"/>
      <c r="W4" s="8"/>
    </row>
    <row r="5" spans="3:26" ht="18.75" customHeight="1">
      <c r="C5" s="2"/>
      <c r="D5" s="2"/>
      <c r="E5" s="2"/>
      <c r="F5" s="2"/>
      <c r="G5" s="37" t="s">
        <v>59</v>
      </c>
      <c r="H5" s="38">
        <f>J5</f>
        <v>35</v>
      </c>
      <c r="I5" s="35" t="s">
        <v>7</v>
      </c>
      <c r="J5" s="5">
        <v>35</v>
      </c>
      <c r="K5" s="2"/>
      <c r="L5" s="2"/>
      <c r="M5" s="41" t="s">
        <v>126</v>
      </c>
      <c r="N5" s="34"/>
      <c r="O5" s="34"/>
      <c r="P5" s="5">
        <v>0</v>
      </c>
      <c r="X5" s="6" t="s">
        <v>91</v>
      </c>
      <c r="Y5" s="6"/>
      <c r="Z5" s="6"/>
    </row>
    <row r="6" spans="3:40" ht="18.75" customHeight="1">
      <c r="C6" s="2"/>
      <c r="D6" s="2"/>
      <c r="E6" s="2"/>
      <c r="F6" s="2"/>
      <c r="G6" s="2"/>
      <c r="H6" s="4"/>
      <c r="I6" s="2"/>
      <c r="J6" s="5"/>
      <c r="K6" s="2"/>
      <c r="L6" s="2"/>
      <c r="R6" s="2"/>
      <c r="V6" s="10" t="s">
        <v>18</v>
      </c>
      <c r="X6" s="1" t="s">
        <v>95</v>
      </c>
      <c r="Y6" s="30">
        <f>W12+1</f>
        <v>50.88162349591508</v>
      </c>
      <c r="AD6" s="6" t="s">
        <v>92</v>
      </c>
      <c r="AE6" s="6"/>
      <c r="AF6" s="6"/>
      <c r="AL6" s="6" t="s">
        <v>119</v>
      </c>
      <c r="AM6" s="7"/>
      <c r="AN6" s="12"/>
    </row>
    <row r="7" spans="3:41" ht="15.75">
      <c r="C7" s="2"/>
      <c r="D7" s="2"/>
      <c r="E7" s="2"/>
      <c r="F7" s="2"/>
      <c r="L7" s="2"/>
      <c r="M7" s="2"/>
      <c r="N7" s="2"/>
      <c r="O7" s="2"/>
      <c r="P7" s="2"/>
      <c r="V7" s="1" t="s">
        <v>27</v>
      </c>
      <c r="W7" s="8">
        <f>W12+0.5</f>
        <v>50.38162349591508</v>
      </c>
      <c r="X7" s="1" t="s">
        <v>96</v>
      </c>
      <c r="Y7" s="27">
        <f>W13</f>
        <v>10</v>
      </c>
      <c r="AD7" s="1" t="s">
        <v>93</v>
      </c>
      <c r="AE7" s="1">
        <f>W21</f>
        <v>5.313288978909085</v>
      </c>
      <c r="AL7" s="1" t="s">
        <v>72</v>
      </c>
      <c r="AM7" s="14">
        <v>0</v>
      </c>
      <c r="AN7" s="12"/>
      <c r="AO7" s="6"/>
    </row>
    <row r="8" spans="22:42" ht="15.75">
      <c r="V8" s="7" t="s">
        <v>10</v>
      </c>
      <c r="W8" s="7" t="s">
        <v>11</v>
      </c>
      <c r="X8" s="1" t="s">
        <v>97</v>
      </c>
      <c r="Y8" s="30">
        <f>MAX(Y6,Y7)</f>
        <v>50.88162349591508</v>
      </c>
      <c r="AD8" s="7" t="s">
        <v>94</v>
      </c>
      <c r="AE8" s="8">
        <f>AS25</f>
        <v>10.0062</v>
      </c>
      <c r="AF8" s="7"/>
      <c r="AL8" s="1" t="s">
        <v>71</v>
      </c>
      <c r="AM8" s="8">
        <f>AM9/TAN(H5/180*PI())</f>
        <v>14.281480067421146</v>
      </c>
      <c r="AP8" s="7"/>
    </row>
    <row r="9" spans="22:45" ht="15.75">
      <c r="V9" s="7">
        <v>0</v>
      </c>
      <c r="W9" s="7">
        <v>0</v>
      </c>
      <c r="X9" s="7" t="s">
        <v>10</v>
      </c>
      <c r="Y9" s="7" t="s">
        <v>11</v>
      </c>
      <c r="Z9" s="7"/>
      <c r="AD9" s="7" t="s">
        <v>10</v>
      </c>
      <c r="AE9" s="7" t="s">
        <v>11</v>
      </c>
      <c r="AF9" s="7"/>
      <c r="AL9" s="1" t="s">
        <v>118</v>
      </c>
      <c r="AM9" s="14">
        <f>H3</f>
        <v>10</v>
      </c>
      <c r="AO9" s="7"/>
      <c r="AP9" s="7"/>
      <c r="AQ9" s="7"/>
      <c r="AR9" s="7"/>
      <c r="AS9" s="7"/>
    </row>
    <row r="10" spans="22:45" ht="15.75">
      <c r="V10" s="8">
        <f>W7</f>
        <v>50.38162349591508</v>
      </c>
      <c r="W10" s="7">
        <v>0</v>
      </c>
      <c r="X10" s="7">
        <v>0</v>
      </c>
      <c r="Y10" s="7">
        <v>0</v>
      </c>
      <c r="Z10" s="7"/>
      <c r="AD10" s="8">
        <v>0</v>
      </c>
      <c r="AE10" s="8">
        <v>0</v>
      </c>
      <c r="AF10" s="8"/>
      <c r="AL10" s="1" t="s">
        <v>117</v>
      </c>
      <c r="AM10" s="8">
        <f>SQRT(AM8^2+AM9^2)</f>
        <v>17.43446795621098</v>
      </c>
      <c r="AO10" s="13"/>
      <c r="AP10" s="14"/>
      <c r="AQ10" s="14"/>
      <c r="AR10" s="14"/>
      <c r="AS10" s="14"/>
    </row>
    <row r="11" spans="22:45" ht="15.75">
      <c r="V11" s="6" t="s">
        <v>13</v>
      </c>
      <c r="X11" s="8">
        <f>Y8</f>
        <v>50.88162349591508</v>
      </c>
      <c r="Y11" s="7">
        <f>Y10</f>
        <v>0</v>
      </c>
      <c r="Z11" s="8"/>
      <c r="AD11" s="8">
        <f>AE7</f>
        <v>5.313288978909085</v>
      </c>
      <c r="AE11" s="8">
        <v>0</v>
      </c>
      <c r="AF11" s="8"/>
      <c r="AL11" s="1" t="s">
        <v>122</v>
      </c>
      <c r="AM11" s="25">
        <f>H5/180*PI()</f>
        <v>0.6108652381980153</v>
      </c>
      <c r="AN11" s="12" t="s">
        <v>44</v>
      </c>
      <c r="AP11" s="16"/>
      <c r="AQ11" s="17"/>
      <c r="AR11" s="17"/>
      <c r="AS11" s="17"/>
    </row>
    <row r="12" spans="22:45" ht="15.75">
      <c r="V12" s="1" t="s">
        <v>71</v>
      </c>
      <c r="W12" s="8">
        <f>H4*W16+0.5*W14*W16^2+(H4+W14*W16)*W16-0.5*C3/C4*W20^2</f>
        <v>49.88162349591508</v>
      </c>
      <c r="X12" s="8">
        <f>Y8</f>
        <v>50.88162349591508</v>
      </c>
      <c r="Y12" s="8">
        <f>Y8</f>
        <v>50.88162349591508</v>
      </c>
      <c r="Z12" s="8"/>
      <c r="AD12" s="8">
        <f>AE7</f>
        <v>5.313288978909085</v>
      </c>
      <c r="AE12" s="8">
        <f>AE8</f>
        <v>10.0062</v>
      </c>
      <c r="AF12" s="7"/>
      <c r="AM12" s="7" t="s">
        <v>10</v>
      </c>
      <c r="AN12" s="7" t="s">
        <v>11</v>
      </c>
      <c r="AP12" s="14"/>
      <c r="AQ12" s="12"/>
      <c r="AR12" s="12"/>
      <c r="AS12" s="12"/>
    </row>
    <row r="13" spans="16:42" ht="15.75">
      <c r="P13" s="18"/>
      <c r="V13" s="1" t="s">
        <v>74</v>
      </c>
      <c r="W13" s="8">
        <f>AM9</f>
        <v>10</v>
      </c>
      <c r="X13" s="7">
        <v>0</v>
      </c>
      <c r="Y13" s="8">
        <f>Y12</f>
        <v>50.88162349591508</v>
      </c>
      <c r="Z13" s="7"/>
      <c r="AD13" s="8">
        <v>0</v>
      </c>
      <c r="AE13" s="8">
        <f>AE8</f>
        <v>10.0062</v>
      </c>
      <c r="AF13" s="7"/>
      <c r="AL13" s="7"/>
      <c r="AM13" s="14">
        <f>AM7</f>
        <v>0</v>
      </c>
      <c r="AN13" s="14">
        <v>0</v>
      </c>
      <c r="AP13" s="14"/>
    </row>
    <row r="14" spans="16:42" ht="15.75">
      <c r="P14" s="1" t="s">
        <v>62</v>
      </c>
      <c r="V14" s="6" t="s">
        <v>125</v>
      </c>
      <c r="W14" s="4">
        <f>IF(9.81*SIN(H5/180*PI())-C3/C4&lt;0,0,(9.81*SIN(H5/180*PI())-C3/C4))</f>
        <v>4.940510330799841</v>
      </c>
      <c r="X14" s="7">
        <v>0</v>
      </c>
      <c r="Y14" s="7">
        <v>0</v>
      </c>
      <c r="Z14" s="7"/>
      <c r="AD14" s="8">
        <v>0</v>
      </c>
      <c r="AE14" s="8">
        <v>0</v>
      </c>
      <c r="AL14" s="7"/>
      <c r="AM14" s="14">
        <f>AM8</f>
        <v>14.281480067421146</v>
      </c>
      <c r="AN14" s="8">
        <v>0</v>
      </c>
      <c r="AP14" s="14"/>
    </row>
    <row r="15" spans="22:42" ht="15.75">
      <c r="V15" s="6" t="s">
        <v>73</v>
      </c>
      <c r="W15" s="19">
        <f>MAX(X25:X115)</f>
        <v>0</v>
      </c>
      <c r="AL15" s="7"/>
      <c r="AM15" s="14">
        <v>0</v>
      </c>
      <c r="AN15" s="8">
        <f>AM9</f>
        <v>10</v>
      </c>
      <c r="AP15" s="16"/>
    </row>
    <row r="16" spans="22:42" ht="15.75">
      <c r="V16" s="1" t="s">
        <v>116</v>
      </c>
      <c r="W16" s="27">
        <f>(-H4+SQRT(H4^2+2*W14*AM10))/W14</f>
        <v>2.6566444894545427</v>
      </c>
      <c r="X16" s="29"/>
      <c r="Y16" s="29"/>
      <c r="Z16" s="29"/>
      <c r="AA16" s="8"/>
      <c r="AC16" s="16"/>
      <c r="AE16" s="13"/>
      <c r="AL16" s="7"/>
      <c r="AM16" s="14">
        <v>0</v>
      </c>
      <c r="AN16" s="7">
        <v>0</v>
      </c>
      <c r="AP16" s="14"/>
    </row>
    <row r="17" spans="23:41" ht="15.75">
      <c r="W17" s="27"/>
      <c r="AA17" s="8"/>
      <c r="AC17" s="16"/>
      <c r="AE17" s="13"/>
      <c r="AG17" s="7"/>
      <c r="AH17" s="14"/>
      <c r="AI17" s="7"/>
      <c r="AJ17" s="7"/>
      <c r="AK17" s="7"/>
      <c r="AL17" s="1" t="s">
        <v>128</v>
      </c>
      <c r="AM17" s="7">
        <v>100</v>
      </c>
      <c r="AO17" s="31" t="s">
        <v>69</v>
      </c>
    </row>
    <row r="18" spans="24:42" ht="15.75">
      <c r="X18" s="29"/>
      <c r="Y18" s="29"/>
      <c r="Z18" s="29"/>
      <c r="AA18" s="8"/>
      <c r="AC18" s="16"/>
      <c r="AE18" s="13"/>
      <c r="AL18" s="1" t="s">
        <v>127</v>
      </c>
      <c r="AM18" s="1" t="s">
        <v>26</v>
      </c>
      <c r="AN18" s="14">
        <f>AM8/AM17</f>
        <v>0.14281480067421146</v>
      </c>
      <c r="AO18" s="21" t="s">
        <v>17</v>
      </c>
      <c r="AP18" s="14">
        <f>H3</f>
        <v>10</v>
      </c>
    </row>
    <row r="19" spans="22:45" ht="15.75">
      <c r="V19" s="1" t="s">
        <v>89</v>
      </c>
      <c r="W19" s="45">
        <f>W16+W18</f>
        <v>2.6566444894545427</v>
      </c>
      <c r="X19" s="29"/>
      <c r="Y19" s="29"/>
      <c r="Z19" s="29"/>
      <c r="AA19" s="8"/>
      <c r="AC19" s="16"/>
      <c r="AE19" s="13"/>
      <c r="AL19" s="7" t="s">
        <v>14</v>
      </c>
      <c r="AM19" s="7" t="s">
        <v>10</v>
      </c>
      <c r="AN19" s="7" t="s">
        <v>11</v>
      </c>
      <c r="AO19" s="21"/>
      <c r="AP19" s="7" t="s">
        <v>10</v>
      </c>
      <c r="AQ19" s="7" t="s">
        <v>11</v>
      </c>
      <c r="AR19" s="7"/>
      <c r="AS19" s="7"/>
    </row>
    <row r="20" spans="22:45" ht="15.75">
      <c r="V20" s="1" t="s">
        <v>120</v>
      </c>
      <c r="W20" s="45">
        <f>W16</f>
        <v>2.6566444894545427</v>
      </c>
      <c r="X20" s="29"/>
      <c r="Y20" s="29"/>
      <c r="Z20" s="29"/>
      <c r="AA20" s="8"/>
      <c r="AC20" s="16"/>
      <c r="AE20" s="13"/>
      <c r="AL20" s="7">
        <v>0</v>
      </c>
      <c r="AM20" s="14">
        <f>AL20*$AN$18</f>
        <v>0</v>
      </c>
      <c r="AN20" s="7">
        <f>IF(AL20&lt;AL21,$AM$9-TAN($AM$11)*AM20,0)</f>
        <v>0</v>
      </c>
      <c r="AO20" s="21" t="s">
        <v>46</v>
      </c>
      <c r="AP20" s="14">
        <f>MAX(AH25:AH125)</f>
        <v>0</v>
      </c>
      <c r="AQ20" s="14">
        <f>VLOOKUP(AP20,AH25:AI125,2,FALSE)+Y8/100</f>
        <v>10.50881623495915</v>
      </c>
      <c r="AR20" s="14"/>
      <c r="AS20" s="14"/>
    </row>
    <row r="21" spans="22:45" ht="15.75">
      <c r="V21" s="18" t="s">
        <v>88</v>
      </c>
      <c r="W21" s="45">
        <f>W16+W18+W20</f>
        <v>5.313288978909085</v>
      </c>
      <c r="X21" s="29"/>
      <c r="Y21" s="29"/>
      <c r="Z21" s="29"/>
      <c r="AA21" s="8"/>
      <c r="AC21" s="16"/>
      <c r="AL21" s="7">
        <f>AL20</f>
        <v>0</v>
      </c>
      <c r="AM21" s="14">
        <f aca="true" t="shared" si="0" ref="AM21:AM84">AL21*$AN$18</f>
        <v>0</v>
      </c>
      <c r="AN21" s="7">
        <f aca="true" t="shared" si="1" ref="AN21:AN39">IF(AL21&lt;AL22,$AM$9-TAN($AM$11)*AM21,0)</f>
        <v>10</v>
      </c>
      <c r="AP21" s="16"/>
      <c r="AQ21" s="17"/>
      <c r="AR21" s="17"/>
      <c r="AS21" s="17"/>
    </row>
    <row r="22" spans="22:49" ht="15.75">
      <c r="V22" s="1" t="s">
        <v>90</v>
      </c>
      <c r="W22" s="1">
        <v>100</v>
      </c>
      <c r="AJ22" s="1" t="s">
        <v>131</v>
      </c>
      <c r="AK22" s="1">
        <f>Y8/100</f>
        <v>0.5088162349591507</v>
      </c>
      <c r="AL22" s="7">
        <f>AL20+1</f>
        <v>1</v>
      </c>
      <c r="AM22" s="14">
        <f t="shared" si="0"/>
        <v>0.14281480067421146</v>
      </c>
      <c r="AN22" s="7">
        <f t="shared" si="1"/>
        <v>0</v>
      </c>
      <c r="AP22" s="14"/>
      <c r="AQ22" s="12"/>
      <c r="AR22" s="12"/>
      <c r="AS22" s="12"/>
      <c r="AW22" s="22"/>
    </row>
    <row r="23" spans="22:50" ht="15.75">
      <c r="V23" s="1" t="s">
        <v>16</v>
      </c>
      <c r="W23" s="42">
        <f>W21/W22</f>
        <v>0.05313288978909085</v>
      </c>
      <c r="AH23" s="3" t="s">
        <v>129</v>
      </c>
      <c r="AJ23" s="1" t="s">
        <v>130</v>
      </c>
      <c r="AL23" s="7">
        <f>AL21+1</f>
        <v>1</v>
      </c>
      <c r="AM23" s="14">
        <f t="shared" si="0"/>
        <v>0.14281480067421146</v>
      </c>
      <c r="AN23" s="7">
        <f t="shared" si="1"/>
        <v>9.9</v>
      </c>
      <c r="AP23" s="14"/>
      <c r="AV23" s="14"/>
      <c r="AW23" s="20"/>
      <c r="AX23" s="14"/>
    </row>
    <row r="24" spans="22:51" ht="17.25">
      <c r="V24" s="22" t="s">
        <v>14</v>
      </c>
      <c r="W24" s="22" t="s">
        <v>34</v>
      </c>
      <c r="X24" s="22" t="s">
        <v>15</v>
      </c>
      <c r="Y24" s="22" t="s">
        <v>80</v>
      </c>
      <c r="Z24" s="22" t="s">
        <v>79</v>
      </c>
      <c r="AA24" s="22" t="s">
        <v>121</v>
      </c>
      <c r="AC24" s="22"/>
      <c r="AD24" s="22"/>
      <c r="AE24" s="23"/>
      <c r="AF24" s="22" t="s">
        <v>10</v>
      </c>
      <c r="AG24" s="22" t="s">
        <v>11</v>
      </c>
      <c r="AH24" s="22" t="s">
        <v>83</v>
      </c>
      <c r="AI24" s="22" t="s">
        <v>84</v>
      </c>
      <c r="AJ24" s="22" t="s">
        <v>132</v>
      </c>
      <c r="AK24" s="22"/>
      <c r="AL24" s="7">
        <f aca="true" t="shared" si="2" ref="AL24:AL87">AL22+1</f>
        <v>2</v>
      </c>
      <c r="AM24" s="14">
        <f t="shared" si="0"/>
        <v>0.2856296013484229</v>
      </c>
      <c r="AN24" s="7">
        <f t="shared" si="1"/>
        <v>0</v>
      </c>
      <c r="AP24" s="24"/>
      <c r="AQ24" s="22"/>
      <c r="AR24" s="22" t="s">
        <v>79</v>
      </c>
      <c r="AS24" s="22" t="s">
        <v>57</v>
      </c>
      <c r="AT24" s="22" t="s">
        <v>56</v>
      </c>
      <c r="AU24" s="22" t="s">
        <v>58</v>
      </c>
      <c r="AV24" s="22" t="s">
        <v>123</v>
      </c>
      <c r="AW24" s="22" t="s">
        <v>75</v>
      </c>
      <c r="AX24" s="22" t="s">
        <v>124</v>
      </c>
      <c r="AY24" s="1" t="s">
        <v>112</v>
      </c>
    </row>
    <row r="25" spans="22:51" ht="15.75">
      <c r="V25" s="7">
        <v>0</v>
      </c>
      <c r="W25" s="16">
        <f aca="true" t="shared" si="3" ref="W25:W56">MIN(V25,$P$5)</f>
        <v>0</v>
      </c>
      <c r="X25" s="13">
        <f aca="true" t="shared" si="4" ref="X25:X56">W25*$W$23</f>
        <v>0</v>
      </c>
      <c r="Y25" s="14">
        <f>IF(X25&lt;=$W$16,$W$14,-$C$3/$C$4)</f>
        <v>4.940510330799841</v>
      </c>
      <c r="Z25" s="14">
        <f>$H$4</f>
        <v>0</v>
      </c>
      <c r="AA25" s="14">
        <v>0</v>
      </c>
      <c r="AC25" s="14"/>
      <c r="AD25" s="14"/>
      <c r="AE25" s="8"/>
      <c r="AF25" s="14">
        <v>0</v>
      </c>
      <c r="AG25" s="14">
        <f>$H$3</f>
        <v>10</v>
      </c>
      <c r="AH25" s="25">
        <f>AF25</f>
        <v>0</v>
      </c>
      <c r="AI25" s="14">
        <f>IF(X25&lt;=$W$16,AG25,0)</f>
        <v>10</v>
      </c>
      <c r="AJ25" s="14">
        <f>AI25+$AK$22</f>
        <v>10.50881623495915</v>
      </c>
      <c r="AK25" s="14"/>
      <c r="AL25" s="7">
        <f t="shared" si="2"/>
        <v>2</v>
      </c>
      <c r="AM25" s="14">
        <f t="shared" si="0"/>
        <v>0.2856296013484229</v>
      </c>
      <c r="AN25" s="7">
        <f t="shared" si="1"/>
        <v>9.8</v>
      </c>
      <c r="AP25" s="14"/>
      <c r="AQ25" s="14"/>
      <c r="AR25" s="14">
        <f>Z25</f>
        <v>0</v>
      </c>
      <c r="AS25" s="14">
        <f aca="true" t="shared" si="5" ref="AS25:AS56">0.5*$C$4*$H$4^2+$C$4*9.81*$H$3</f>
        <v>10.0062</v>
      </c>
      <c r="AT25" s="8">
        <f>$C$4*9.81*AI25</f>
        <v>10.0062</v>
      </c>
      <c r="AU25" s="26">
        <f aca="true" t="shared" si="6" ref="AU25:AU88">0.5*$C$4*AR25^2</f>
        <v>0</v>
      </c>
      <c r="AV25" s="13">
        <f>$C$3</f>
        <v>0.07</v>
      </c>
      <c r="AW25" s="26">
        <f>AR25*(X26-X25)</f>
        <v>0</v>
      </c>
      <c r="AX25" s="26">
        <f>AV25*AW25</f>
        <v>0</v>
      </c>
      <c r="AY25" s="26">
        <f aca="true" t="shared" si="7" ref="AY25:AY56">AS25-AT25-AU25</f>
        <v>0</v>
      </c>
    </row>
    <row r="26" spans="22:51" ht="15.75">
      <c r="V26" s="16">
        <v>1</v>
      </c>
      <c r="W26" s="16">
        <f t="shared" si="3"/>
        <v>0</v>
      </c>
      <c r="X26" s="13">
        <f t="shared" si="4"/>
        <v>0</v>
      </c>
      <c r="Y26" s="14">
        <f aca="true" t="shared" si="8" ref="Y26:Y89">IF(X26&lt;=$W$16,$W$14,-$C$3/$C$4)</f>
        <v>4.940510330799841</v>
      </c>
      <c r="Z26" s="14">
        <f>Z25+Y26*(X26-X25)</f>
        <v>0</v>
      </c>
      <c r="AA26" s="14">
        <f>AA25+Z26*(X26-X25)</f>
        <v>0</v>
      </c>
      <c r="AC26" s="14"/>
      <c r="AD26" s="14"/>
      <c r="AE26" s="8"/>
      <c r="AF26" s="14">
        <f>IF(X25&lt;$W$16,AF25+(AA26-AA25)*COS($H$5/180*PI()),AF25+(AA26-AA25))</f>
        <v>0</v>
      </c>
      <c r="AG26" s="14">
        <f>IF(X25&lt;$W$16,AG25-(AA26-AA25)*SIN($H$5/180*PI()),0)</f>
        <v>10</v>
      </c>
      <c r="AH26" s="25">
        <f>AF26</f>
        <v>0</v>
      </c>
      <c r="AI26" s="14">
        <f>IF(X26&lt;$W$16,AG26,0)</f>
        <v>10</v>
      </c>
      <c r="AJ26" s="14">
        <f aca="true" t="shared" si="9" ref="AJ26:AJ89">AI26+$AK$22</f>
        <v>10.50881623495915</v>
      </c>
      <c r="AK26" s="14"/>
      <c r="AL26" s="7">
        <f t="shared" si="2"/>
        <v>3</v>
      </c>
      <c r="AM26" s="14">
        <f t="shared" si="0"/>
        <v>0.42844440202263434</v>
      </c>
      <c r="AN26" s="7">
        <f t="shared" si="1"/>
        <v>0</v>
      </c>
      <c r="AP26" s="14"/>
      <c r="AQ26" s="14"/>
      <c r="AR26" s="14">
        <f aca="true" t="shared" si="10" ref="AR26:AR89">Z26</f>
        <v>0</v>
      </c>
      <c r="AS26" s="14">
        <f t="shared" si="5"/>
        <v>10.0062</v>
      </c>
      <c r="AT26" s="8">
        <f aca="true" t="shared" si="11" ref="AT26:AT89">$C$4*9.81*AI26</f>
        <v>10.0062</v>
      </c>
      <c r="AU26" s="26">
        <f t="shared" si="6"/>
        <v>0</v>
      </c>
      <c r="AV26" s="13">
        <f aca="true" t="shared" si="12" ref="AV26:AV89">$C$3</f>
        <v>0.07</v>
      </c>
      <c r="AW26" s="26">
        <f aca="true" t="shared" si="13" ref="AW26:AW57">AR26*(X26-X25)</f>
        <v>0</v>
      </c>
      <c r="AX26" s="26">
        <f aca="true" t="shared" si="14" ref="AX26:AX57">AX25+AV26*AW26</f>
        <v>0</v>
      </c>
      <c r="AY26" s="26">
        <f t="shared" si="7"/>
        <v>0</v>
      </c>
    </row>
    <row r="27" spans="22:51" ht="15.75">
      <c r="V27" s="16">
        <v>2</v>
      </c>
      <c r="W27" s="16">
        <f t="shared" si="3"/>
        <v>0</v>
      </c>
      <c r="X27" s="13">
        <f t="shared" si="4"/>
        <v>0</v>
      </c>
      <c r="Y27" s="14">
        <f t="shared" si="8"/>
        <v>4.940510330799841</v>
      </c>
      <c r="Z27" s="14">
        <f aca="true" t="shared" si="15" ref="Z27:Z90">Z26+Y27*(X27-X26)</f>
        <v>0</v>
      </c>
      <c r="AA27" s="14">
        <f aca="true" t="shared" si="16" ref="AA27:AA90">AA26+Z27*(X27-X26)</f>
        <v>0</v>
      </c>
      <c r="AC27" s="14"/>
      <c r="AD27" s="14"/>
      <c r="AE27" s="8"/>
      <c r="AF27" s="14">
        <f aca="true" t="shared" si="17" ref="AF27:AF90">IF(X26&lt;$W$16,AF26+(AA27-AA26)*COS($H$5/180*PI()),AF26+(AA27-AA26))</f>
        <v>0</v>
      </c>
      <c r="AG27" s="14">
        <f aca="true" t="shared" si="18" ref="AG27:AG90">IF(X26&lt;$W$16,AG26-(AA27-AA26)*SIN($H$5/180*PI()),0)</f>
        <v>10</v>
      </c>
      <c r="AH27" s="25">
        <f aca="true" t="shared" si="19" ref="AH27:AH90">AF27</f>
        <v>0</v>
      </c>
      <c r="AI27" s="14">
        <f aca="true" t="shared" si="20" ref="AI27:AI90">IF(X27&lt;$W$16,AG27,0)</f>
        <v>10</v>
      </c>
      <c r="AJ27" s="14">
        <f t="shared" si="9"/>
        <v>10.50881623495915</v>
      </c>
      <c r="AK27" s="14"/>
      <c r="AL27" s="7">
        <f t="shared" si="2"/>
        <v>3</v>
      </c>
      <c r="AM27" s="14">
        <f t="shared" si="0"/>
        <v>0.42844440202263434</v>
      </c>
      <c r="AN27" s="7">
        <f t="shared" si="1"/>
        <v>9.7</v>
      </c>
      <c r="AP27" s="14"/>
      <c r="AQ27" s="14"/>
      <c r="AR27" s="14">
        <f t="shared" si="10"/>
        <v>0</v>
      </c>
      <c r="AS27" s="14">
        <f t="shared" si="5"/>
        <v>10.0062</v>
      </c>
      <c r="AT27" s="8">
        <f t="shared" si="11"/>
        <v>10.0062</v>
      </c>
      <c r="AU27" s="26">
        <f t="shared" si="6"/>
        <v>0</v>
      </c>
      <c r="AV27" s="13">
        <f t="shared" si="12"/>
        <v>0.07</v>
      </c>
      <c r="AW27" s="26">
        <f t="shared" si="13"/>
        <v>0</v>
      </c>
      <c r="AX27" s="26">
        <f t="shared" si="14"/>
        <v>0</v>
      </c>
      <c r="AY27" s="26">
        <f t="shared" si="7"/>
        <v>0</v>
      </c>
    </row>
    <row r="28" spans="22:51" ht="15.75">
      <c r="V28" s="16">
        <v>3</v>
      </c>
      <c r="W28" s="16">
        <f t="shared" si="3"/>
        <v>0</v>
      </c>
      <c r="X28" s="13">
        <f t="shared" si="4"/>
        <v>0</v>
      </c>
      <c r="Y28" s="14">
        <f t="shared" si="8"/>
        <v>4.940510330799841</v>
      </c>
      <c r="Z28" s="14">
        <f t="shared" si="15"/>
        <v>0</v>
      </c>
      <c r="AA28" s="14">
        <f t="shared" si="16"/>
        <v>0</v>
      </c>
      <c r="AC28" s="14"/>
      <c r="AD28" s="14"/>
      <c r="AE28" s="8"/>
      <c r="AF28" s="14">
        <f t="shared" si="17"/>
        <v>0</v>
      </c>
      <c r="AG28" s="14">
        <f t="shared" si="18"/>
        <v>10</v>
      </c>
      <c r="AH28" s="25">
        <f t="shared" si="19"/>
        <v>0</v>
      </c>
      <c r="AI28" s="14">
        <f t="shared" si="20"/>
        <v>10</v>
      </c>
      <c r="AJ28" s="14">
        <f t="shared" si="9"/>
        <v>10.50881623495915</v>
      </c>
      <c r="AK28" s="14"/>
      <c r="AL28" s="7">
        <f t="shared" si="2"/>
        <v>4</v>
      </c>
      <c r="AM28" s="14">
        <f t="shared" si="0"/>
        <v>0.5712592026968458</v>
      </c>
      <c r="AN28" s="7">
        <f t="shared" si="1"/>
        <v>0</v>
      </c>
      <c r="AP28" s="14"/>
      <c r="AQ28" s="14"/>
      <c r="AR28" s="14">
        <f t="shared" si="10"/>
        <v>0</v>
      </c>
      <c r="AS28" s="14">
        <f t="shared" si="5"/>
        <v>10.0062</v>
      </c>
      <c r="AT28" s="8">
        <f t="shared" si="11"/>
        <v>10.0062</v>
      </c>
      <c r="AU28" s="26">
        <f t="shared" si="6"/>
        <v>0</v>
      </c>
      <c r="AV28" s="13">
        <f t="shared" si="12"/>
        <v>0.07</v>
      </c>
      <c r="AW28" s="26">
        <f t="shared" si="13"/>
        <v>0</v>
      </c>
      <c r="AX28" s="26">
        <f t="shared" si="14"/>
        <v>0</v>
      </c>
      <c r="AY28" s="26">
        <f t="shared" si="7"/>
        <v>0</v>
      </c>
    </row>
    <row r="29" spans="22:51" ht="15.75">
      <c r="V29" s="7">
        <v>4</v>
      </c>
      <c r="W29" s="16">
        <f t="shared" si="3"/>
        <v>0</v>
      </c>
      <c r="X29" s="13">
        <f t="shared" si="4"/>
        <v>0</v>
      </c>
      <c r="Y29" s="14">
        <f t="shared" si="8"/>
        <v>4.940510330799841</v>
      </c>
      <c r="Z29" s="14">
        <f t="shared" si="15"/>
        <v>0</v>
      </c>
      <c r="AA29" s="14">
        <f t="shared" si="16"/>
        <v>0</v>
      </c>
      <c r="AC29" s="14"/>
      <c r="AD29" s="14"/>
      <c r="AE29" s="8"/>
      <c r="AF29" s="14">
        <f t="shared" si="17"/>
        <v>0</v>
      </c>
      <c r="AG29" s="14">
        <f t="shared" si="18"/>
        <v>10</v>
      </c>
      <c r="AH29" s="25">
        <f t="shared" si="19"/>
        <v>0</v>
      </c>
      <c r="AI29" s="14">
        <f t="shared" si="20"/>
        <v>10</v>
      </c>
      <c r="AJ29" s="14">
        <f t="shared" si="9"/>
        <v>10.50881623495915</v>
      </c>
      <c r="AK29" s="14"/>
      <c r="AL29" s="7">
        <f t="shared" si="2"/>
        <v>4</v>
      </c>
      <c r="AM29" s="14">
        <f t="shared" si="0"/>
        <v>0.5712592026968458</v>
      </c>
      <c r="AN29" s="7">
        <f t="shared" si="1"/>
        <v>9.6</v>
      </c>
      <c r="AP29" s="14"/>
      <c r="AQ29" s="14"/>
      <c r="AR29" s="14">
        <f t="shared" si="10"/>
        <v>0</v>
      </c>
      <c r="AS29" s="14">
        <f t="shared" si="5"/>
        <v>10.0062</v>
      </c>
      <c r="AT29" s="8">
        <f t="shared" si="11"/>
        <v>10.0062</v>
      </c>
      <c r="AU29" s="26">
        <f t="shared" si="6"/>
        <v>0</v>
      </c>
      <c r="AV29" s="13">
        <f t="shared" si="12"/>
        <v>0.07</v>
      </c>
      <c r="AW29" s="26">
        <f t="shared" si="13"/>
        <v>0</v>
      </c>
      <c r="AX29" s="26">
        <f t="shared" si="14"/>
        <v>0</v>
      </c>
      <c r="AY29" s="26">
        <f t="shared" si="7"/>
        <v>0</v>
      </c>
    </row>
    <row r="30" spans="22:51" ht="15.75">
      <c r="V30" s="16">
        <v>5</v>
      </c>
      <c r="W30" s="16">
        <f t="shared" si="3"/>
        <v>0</v>
      </c>
      <c r="X30" s="13">
        <f t="shared" si="4"/>
        <v>0</v>
      </c>
      <c r="Y30" s="14">
        <f t="shared" si="8"/>
        <v>4.940510330799841</v>
      </c>
      <c r="Z30" s="14">
        <f t="shared" si="15"/>
        <v>0</v>
      </c>
      <c r="AA30" s="14">
        <f t="shared" si="16"/>
        <v>0</v>
      </c>
      <c r="AB30" s="14"/>
      <c r="AC30" s="14"/>
      <c r="AD30" s="14"/>
      <c r="AE30" s="8"/>
      <c r="AF30" s="14">
        <f t="shared" si="17"/>
        <v>0</v>
      </c>
      <c r="AG30" s="14">
        <f t="shared" si="18"/>
        <v>10</v>
      </c>
      <c r="AH30" s="25">
        <f t="shared" si="19"/>
        <v>0</v>
      </c>
      <c r="AI30" s="14">
        <f t="shared" si="20"/>
        <v>10</v>
      </c>
      <c r="AJ30" s="14">
        <f t="shared" si="9"/>
        <v>10.50881623495915</v>
      </c>
      <c r="AK30" s="14"/>
      <c r="AL30" s="7">
        <f t="shared" si="2"/>
        <v>5</v>
      </c>
      <c r="AM30" s="14">
        <f t="shared" si="0"/>
        <v>0.7140740033710573</v>
      </c>
      <c r="AN30" s="7">
        <f t="shared" si="1"/>
        <v>0</v>
      </c>
      <c r="AP30" s="14"/>
      <c r="AQ30" s="14"/>
      <c r="AR30" s="14">
        <f t="shared" si="10"/>
        <v>0</v>
      </c>
      <c r="AS30" s="14">
        <f t="shared" si="5"/>
        <v>10.0062</v>
      </c>
      <c r="AT30" s="8">
        <f t="shared" si="11"/>
        <v>10.0062</v>
      </c>
      <c r="AU30" s="26">
        <f t="shared" si="6"/>
        <v>0</v>
      </c>
      <c r="AV30" s="13">
        <f t="shared" si="12"/>
        <v>0.07</v>
      </c>
      <c r="AW30" s="26">
        <f t="shared" si="13"/>
        <v>0</v>
      </c>
      <c r="AX30" s="26">
        <f t="shared" si="14"/>
        <v>0</v>
      </c>
      <c r="AY30" s="26">
        <f t="shared" si="7"/>
        <v>0</v>
      </c>
    </row>
    <row r="31" spans="22:51" ht="15.75">
      <c r="V31" s="16">
        <v>6</v>
      </c>
      <c r="W31" s="16">
        <f t="shared" si="3"/>
        <v>0</v>
      </c>
      <c r="X31" s="13">
        <f t="shared" si="4"/>
        <v>0</v>
      </c>
      <c r="Y31" s="14">
        <f t="shared" si="8"/>
        <v>4.940510330799841</v>
      </c>
      <c r="Z31" s="14">
        <f t="shared" si="15"/>
        <v>0</v>
      </c>
      <c r="AA31" s="14">
        <f t="shared" si="16"/>
        <v>0</v>
      </c>
      <c r="AB31" s="14"/>
      <c r="AC31" s="14"/>
      <c r="AD31" s="14"/>
      <c r="AE31" s="8"/>
      <c r="AF31" s="14">
        <f t="shared" si="17"/>
        <v>0</v>
      </c>
      <c r="AG31" s="14">
        <f t="shared" si="18"/>
        <v>10</v>
      </c>
      <c r="AH31" s="25">
        <f t="shared" si="19"/>
        <v>0</v>
      </c>
      <c r="AI31" s="14">
        <f t="shared" si="20"/>
        <v>10</v>
      </c>
      <c r="AJ31" s="14">
        <f t="shared" si="9"/>
        <v>10.50881623495915</v>
      </c>
      <c r="AK31" s="14"/>
      <c r="AL31" s="7">
        <f t="shared" si="2"/>
        <v>5</v>
      </c>
      <c r="AM31" s="14">
        <f t="shared" si="0"/>
        <v>0.7140740033710573</v>
      </c>
      <c r="AN31" s="7">
        <f t="shared" si="1"/>
        <v>9.5</v>
      </c>
      <c r="AP31" s="14"/>
      <c r="AQ31" s="14"/>
      <c r="AR31" s="14">
        <f t="shared" si="10"/>
        <v>0</v>
      </c>
      <c r="AS31" s="14">
        <f t="shared" si="5"/>
        <v>10.0062</v>
      </c>
      <c r="AT31" s="8">
        <f t="shared" si="11"/>
        <v>10.0062</v>
      </c>
      <c r="AU31" s="26">
        <f t="shared" si="6"/>
        <v>0</v>
      </c>
      <c r="AV31" s="13">
        <f t="shared" si="12"/>
        <v>0.07</v>
      </c>
      <c r="AW31" s="26">
        <f t="shared" si="13"/>
        <v>0</v>
      </c>
      <c r="AX31" s="26">
        <f t="shared" si="14"/>
        <v>0</v>
      </c>
      <c r="AY31" s="26">
        <f t="shared" si="7"/>
        <v>0</v>
      </c>
    </row>
    <row r="32" spans="22:51" ht="15.75">
      <c r="V32" s="16">
        <v>7</v>
      </c>
      <c r="W32" s="16">
        <f t="shared" si="3"/>
        <v>0</v>
      </c>
      <c r="X32" s="13">
        <f t="shared" si="4"/>
        <v>0</v>
      </c>
      <c r="Y32" s="14">
        <f t="shared" si="8"/>
        <v>4.940510330799841</v>
      </c>
      <c r="Z32" s="14">
        <f t="shared" si="15"/>
        <v>0</v>
      </c>
      <c r="AA32" s="14">
        <f t="shared" si="16"/>
        <v>0</v>
      </c>
      <c r="AB32" s="14"/>
      <c r="AC32" s="14"/>
      <c r="AD32" s="14"/>
      <c r="AE32" s="8"/>
      <c r="AF32" s="14">
        <f t="shared" si="17"/>
        <v>0</v>
      </c>
      <c r="AG32" s="14">
        <f t="shared" si="18"/>
        <v>10</v>
      </c>
      <c r="AH32" s="25">
        <f t="shared" si="19"/>
        <v>0</v>
      </c>
      <c r="AI32" s="14">
        <f t="shared" si="20"/>
        <v>10</v>
      </c>
      <c r="AJ32" s="14">
        <f t="shared" si="9"/>
        <v>10.50881623495915</v>
      </c>
      <c r="AK32" s="14"/>
      <c r="AL32" s="7">
        <f t="shared" si="2"/>
        <v>6</v>
      </c>
      <c r="AM32" s="14">
        <f t="shared" si="0"/>
        <v>0.8568888040452687</v>
      </c>
      <c r="AN32" s="7">
        <f t="shared" si="1"/>
        <v>0</v>
      </c>
      <c r="AP32" s="14"/>
      <c r="AQ32" s="14"/>
      <c r="AR32" s="14">
        <f t="shared" si="10"/>
        <v>0</v>
      </c>
      <c r="AS32" s="14">
        <f t="shared" si="5"/>
        <v>10.0062</v>
      </c>
      <c r="AT32" s="8">
        <f t="shared" si="11"/>
        <v>10.0062</v>
      </c>
      <c r="AU32" s="26">
        <f t="shared" si="6"/>
        <v>0</v>
      </c>
      <c r="AV32" s="13">
        <f t="shared" si="12"/>
        <v>0.07</v>
      </c>
      <c r="AW32" s="26">
        <f t="shared" si="13"/>
        <v>0</v>
      </c>
      <c r="AX32" s="26">
        <f t="shared" si="14"/>
        <v>0</v>
      </c>
      <c r="AY32" s="26">
        <f t="shared" si="7"/>
        <v>0</v>
      </c>
    </row>
    <row r="33" spans="22:51" ht="15.75">
      <c r="V33" s="7">
        <v>8</v>
      </c>
      <c r="W33" s="16">
        <f t="shared" si="3"/>
        <v>0</v>
      </c>
      <c r="X33" s="13">
        <f t="shared" si="4"/>
        <v>0</v>
      </c>
      <c r="Y33" s="14">
        <f t="shared" si="8"/>
        <v>4.940510330799841</v>
      </c>
      <c r="Z33" s="14">
        <f t="shared" si="15"/>
        <v>0</v>
      </c>
      <c r="AA33" s="14">
        <f t="shared" si="16"/>
        <v>0</v>
      </c>
      <c r="AB33" s="14"/>
      <c r="AC33" s="14"/>
      <c r="AD33" s="14"/>
      <c r="AE33" s="8"/>
      <c r="AF33" s="14">
        <f t="shared" si="17"/>
        <v>0</v>
      </c>
      <c r="AG33" s="14">
        <f t="shared" si="18"/>
        <v>10</v>
      </c>
      <c r="AH33" s="25">
        <f t="shared" si="19"/>
        <v>0</v>
      </c>
      <c r="AI33" s="14">
        <f t="shared" si="20"/>
        <v>10</v>
      </c>
      <c r="AJ33" s="14">
        <f t="shared" si="9"/>
        <v>10.50881623495915</v>
      </c>
      <c r="AK33" s="14"/>
      <c r="AL33" s="7">
        <f t="shared" si="2"/>
        <v>6</v>
      </c>
      <c r="AM33" s="14">
        <f t="shared" si="0"/>
        <v>0.8568888040452687</v>
      </c>
      <c r="AN33" s="7">
        <f t="shared" si="1"/>
        <v>9.4</v>
      </c>
      <c r="AP33" s="14"/>
      <c r="AQ33" s="14"/>
      <c r="AR33" s="14">
        <f t="shared" si="10"/>
        <v>0</v>
      </c>
      <c r="AS33" s="14">
        <f t="shared" si="5"/>
        <v>10.0062</v>
      </c>
      <c r="AT33" s="8">
        <f t="shared" si="11"/>
        <v>10.0062</v>
      </c>
      <c r="AU33" s="26">
        <f t="shared" si="6"/>
        <v>0</v>
      </c>
      <c r="AV33" s="13">
        <f t="shared" si="12"/>
        <v>0.07</v>
      </c>
      <c r="AW33" s="26">
        <f t="shared" si="13"/>
        <v>0</v>
      </c>
      <c r="AX33" s="26">
        <f t="shared" si="14"/>
        <v>0</v>
      </c>
      <c r="AY33" s="26">
        <f t="shared" si="7"/>
        <v>0</v>
      </c>
    </row>
    <row r="34" spans="22:51" ht="15.75">
      <c r="V34" s="16">
        <v>9</v>
      </c>
      <c r="W34" s="16">
        <f t="shared" si="3"/>
        <v>0</v>
      </c>
      <c r="X34" s="13">
        <f t="shared" si="4"/>
        <v>0</v>
      </c>
      <c r="Y34" s="14">
        <f t="shared" si="8"/>
        <v>4.940510330799841</v>
      </c>
      <c r="Z34" s="14">
        <f t="shared" si="15"/>
        <v>0</v>
      </c>
      <c r="AA34" s="14">
        <f t="shared" si="16"/>
        <v>0</v>
      </c>
      <c r="AB34" s="14"/>
      <c r="AC34" s="14"/>
      <c r="AD34" s="14"/>
      <c r="AE34" s="8"/>
      <c r="AF34" s="14">
        <f t="shared" si="17"/>
        <v>0</v>
      </c>
      <c r="AG34" s="14">
        <f t="shared" si="18"/>
        <v>10</v>
      </c>
      <c r="AH34" s="25">
        <f t="shared" si="19"/>
        <v>0</v>
      </c>
      <c r="AI34" s="14">
        <f t="shared" si="20"/>
        <v>10</v>
      </c>
      <c r="AJ34" s="14">
        <f t="shared" si="9"/>
        <v>10.50881623495915</v>
      </c>
      <c r="AK34" s="14"/>
      <c r="AL34" s="7">
        <f t="shared" si="2"/>
        <v>7</v>
      </c>
      <c r="AM34" s="14">
        <f t="shared" si="0"/>
        <v>0.9997036047194802</v>
      </c>
      <c r="AN34" s="7">
        <f t="shared" si="1"/>
        <v>0</v>
      </c>
      <c r="AP34" s="14"/>
      <c r="AQ34" s="14"/>
      <c r="AR34" s="14">
        <f t="shared" si="10"/>
        <v>0</v>
      </c>
      <c r="AS34" s="14">
        <f t="shared" si="5"/>
        <v>10.0062</v>
      </c>
      <c r="AT34" s="8">
        <f t="shared" si="11"/>
        <v>10.0062</v>
      </c>
      <c r="AU34" s="26">
        <f t="shared" si="6"/>
        <v>0</v>
      </c>
      <c r="AV34" s="13">
        <f t="shared" si="12"/>
        <v>0.07</v>
      </c>
      <c r="AW34" s="26">
        <f t="shared" si="13"/>
        <v>0</v>
      </c>
      <c r="AX34" s="26">
        <f t="shared" si="14"/>
        <v>0</v>
      </c>
      <c r="AY34" s="26">
        <f t="shared" si="7"/>
        <v>0</v>
      </c>
    </row>
    <row r="35" spans="22:51" ht="15.75">
      <c r="V35" s="16">
        <v>10</v>
      </c>
      <c r="W35" s="16">
        <f t="shared" si="3"/>
        <v>0</v>
      </c>
      <c r="X35" s="13">
        <f t="shared" si="4"/>
        <v>0</v>
      </c>
      <c r="Y35" s="14">
        <f t="shared" si="8"/>
        <v>4.940510330799841</v>
      </c>
      <c r="Z35" s="14">
        <f t="shared" si="15"/>
        <v>0</v>
      </c>
      <c r="AA35" s="14">
        <f t="shared" si="16"/>
        <v>0</v>
      </c>
      <c r="AB35" s="14"/>
      <c r="AC35" s="14"/>
      <c r="AD35" s="14"/>
      <c r="AE35" s="8"/>
      <c r="AF35" s="14">
        <f t="shared" si="17"/>
        <v>0</v>
      </c>
      <c r="AG35" s="14">
        <f t="shared" si="18"/>
        <v>10</v>
      </c>
      <c r="AH35" s="25">
        <f t="shared" si="19"/>
        <v>0</v>
      </c>
      <c r="AI35" s="14">
        <f t="shared" si="20"/>
        <v>10</v>
      </c>
      <c r="AJ35" s="14">
        <f t="shared" si="9"/>
        <v>10.50881623495915</v>
      </c>
      <c r="AK35" s="14"/>
      <c r="AL35" s="7">
        <f t="shared" si="2"/>
        <v>7</v>
      </c>
      <c r="AM35" s="14">
        <f t="shared" si="0"/>
        <v>0.9997036047194802</v>
      </c>
      <c r="AN35" s="7">
        <f t="shared" si="1"/>
        <v>9.3</v>
      </c>
      <c r="AP35" s="14"/>
      <c r="AQ35" s="14"/>
      <c r="AR35" s="14">
        <f t="shared" si="10"/>
        <v>0</v>
      </c>
      <c r="AS35" s="14">
        <f t="shared" si="5"/>
        <v>10.0062</v>
      </c>
      <c r="AT35" s="8">
        <f t="shared" si="11"/>
        <v>10.0062</v>
      </c>
      <c r="AU35" s="26">
        <f t="shared" si="6"/>
        <v>0</v>
      </c>
      <c r="AV35" s="13">
        <f t="shared" si="12"/>
        <v>0.07</v>
      </c>
      <c r="AW35" s="26">
        <f t="shared" si="13"/>
        <v>0</v>
      </c>
      <c r="AX35" s="26">
        <f t="shared" si="14"/>
        <v>0</v>
      </c>
      <c r="AY35" s="26">
        <f t="shared" si="7"/>
        <v>0</v>
      </c>
    </row>
    <row r="36" spans="22:51" ht="15.75">
      <c r="V36" s="16">
        <v>11</v>
      </c>
      <c r="W36" s="16">
        <f t="shared" si="3"/>
        <v>0</v>
      </c>
      <c r="X36" s="13">
        <f t="shared" si="4"/>
        <v>0</v>
      </c>
      <c r="Y36" s="14">
        <f t="shared" si="8"/>
        <v>4.940510330799841</v>
      </c>
      <c r="Z36" s="14">
        <f t="shared" si="15"/>
        <v>0</v>
      </c>
      <c r="AA36" s="14">
        <f t="shared" si="16"/>
        <v>0</v>
      </c>
      <c r="AB36" s="14"/>
      <c r="AC36" s="14"/>
      <c r="AD36" s="14"/>
      <c r="AE36" s="8"/>
      <c r="AF36" s="14">
        <f t="shared" si="17"/>
        <v>0</v>
      </c>
      <c r="AG36" s="14">
        <f t="shared" si="18"/>
        <v>10</v>
      </c>
      <c r="AH36" s="25">
        <f t="shared" si="19"/>
        <v>0</v>
      </c>
      <c r="AI36" s="14">
        <f t="shared" si="20"/>
        <v>10</v>
      </c>
      <c r="AJ36" s="14">
        <f t="shared" si="9"/>
        <v>10.50881623495915</v>
      </c>
      <c r="AK36" s="14"/>
      <c r="AL36" s="7">
        <f t="shared" si="2"/>
        <v>8</v>
      </c>
      <c r="AM36" s="14">
        <f t="shared" si="0"/>
        <v>1.1425184053936916</v>
      </c>
      <c r="AN36" s="7">
        <f t="shared" si="1"/>
        <v>0</v>
      </c>
      <c r="AP36" s="14"/>
      <c r="AQ36" s="14"/>
      <c r="AR36" s="14">
        <f t="shared" si="10"/>
        <v>0</v>
      </c>
      <c r="AS36" s="14">
        <f t="shared" si="5"/>
        <v>10.0062</v>
      </c>
      <c r="AT36" s="8">
        <f t="shared" si="11"/>
        <v>10.0062</v>
      </c>
      <c r="AU36" s="26">
        <f t="shared" si="6"/>
        <v>0</v>
      </c>
      <c r="AV36" s="13">
        <f t="shared" si="12"/>
        <v>0.07</v>
      </c>
      <c r="AW36" s="26">
        <f t="shared" si="13"/>
        <v>0</v>
      </c>
      <c r="AX36" s="26">
        <f t="shared" si="14"/>
        <v>0</v>
      </c>
      <c r="AY36" s="26">
        <f t="shared" si="7"/>
        <v>0</v>
      </c>
    </row>
    <row r="37" spans="22:51" ht="15.75">
      <c r="V37" s="7">
        <v>12</v>
      </c>
      <c r="W37" s="16">
        <f t="shared" si="3"/>
        <v>0</v>
      </c>
      <c r="X37" s="13">
        <f t="shared" si="4"/>
        <v>0</v>
      </c>
      <c r="Y37" s="14">
        <f t="shared" si="8"/>
        <v>4.940510330799841</v>
      </c>
      <c r="Z37" s="14">
        <f t="shared" si="15"/>
        <v>0</v>
      </c>
      <c r="AA37" s="14">
        <f t="shared" si="16"/>
        <v>0</v>
      </c>
      <c r="AB37" s="14"/>
      <c r="AC37" s="14"/>
      <c r="AD37" s="14"/>
      <c r="AE37" s="8"/>
      <c r="AF37" s="14">
        <f t="shared" si="17"/>
        <v>0</v>
      </c>
      <c r="AG37" s="14">
        <f t="shared" si="18"/>
        <v>10</v>
      </c>
      <c r="AH37" s="25">
        <f t="shared" si="19"/>
        <v>0</v>
      </c>
      <c r="AI37" s="14">
        <f t="shared" si="20"/>
        <v>10</v>
      </c>
      <c r="AJ37" s="14">
        <f t="shared" si="9"/>
        <v>10.50881623495915</v>
      </c>
      <c r="AK37" s="14"/>
      <c r="AL37" s="7">
        <f t="shared" si="2"/>
        <v>8</v>
      </c>
      <c r="AM37" s="14">
        <f t="shared" si="0"/>
        <v>1.1425184053936916</v>
      </c>
      <c r="AN37" s="7">
        <f t="shared" si="1"/>
        <v>9.2</v>
      </c>
      <c r="AP37" s="14"/>
      <c r="AQ37" s="14"/>
      <c r="AR37" s="14">
        <f t="shared" si="10"/>
        <v>0</v>
      </c>
      <c r="AS37" s="14">
        <f t="shared" si="5"/>
        <v>10.0062</v>
      </c>
      <c r="AT37" s="8">
        <f t="shared" si="11"/>
        <v>10.0062</v>
      </c>
      <c r="AU37" s="26">
        <f t="shared" si="6"/>
        <v>0</v>
      </c>
      <c r="AV37" s="13">
        <f t="shared" si="12"/>
        <v>0.07</v>
      </c>
      <c r="AW37" s="26">
        <f t="shared" si="13"/>
        <v>0</v>
      </c>
      <c r="AX37" s="26">
        <f t="shared" si="14"/>
        <v>0</v>
      </c>
      <c r="AY37" s="26">
        <f t="shared" si="7"/>
        <v>0</v>
      </c>
    </row>
    <row r="38" spans="22:51" ht="15.75">
      <c r="V38" s="16">
        <v>13</v>
      </c>
      <c r="W38" s="16">
        <f t="shared" si="3"/>
        <v>0</v>
      </c>
      <c r="X38" s="13">
        <f t="shared" si="4"/>
        <v>0</v>
      </c>
      <c r="Y38" s="14">
        <f t="shared" si="8"/>
        <v>4.940510330799841</v>
      </c>
      <c r="Z38" s="14">
        <f t="shared" si="15"/>
        <v>0</v>
      </c>
      <c r="AA38" s="14">
        <f t="shared" si="16"/>
        <v>0</v>
      </c>
      <c r="AB38" s="14"/>
      <c r="AC38" s="14"/>
      <c r="AD38" s="14"/>
      <c r="AE38" s="8"/>
      <c r="AF38" s="14">
        <f t="shared" si="17"/>
        <v>0</v>
      </c>
      <c r="AG38" s="14">
        <f t="shared" si="18"/>
        <v>10</v>
      </c>
      <c r="AH38" s="25">
        <f t="shared" si="19"/>
        <v>0</v>
      </c>
      <c r="AI38" s="14">
        <f t="shared" si="20"/>
        <v>10</v>
      </c>
      <c r="AJ38" s="14">
        <f t="shared" si="9"/>
        <v>10.50881623495915</v>
      </c>
      <c r="AK38" s="14"/>
      <c r="AL38" s="7">
        <f t="shared" si="2"/>
        <v>9</v>
      </c>
      <c r="AM38" s="14">
        <f t="shared" si="0"/>
        <v>1.285333206067903</v>
      </c>
      <c r="AN38" s="7">
        <f t="shared" si="1"/>
        <v>0</v>
      </c>
      <c r="AP38" s="14"/>
      <c r="AQ38" s="14"/>
      <c r="AR38" s="14">
        <f t="shared" si="10"/>
        <v>0</v>
      </c>
      <c r="AS38" s="14">
        <f t="shared" si="5"/>
        <v>10.0062</v>
      </c>
      <c r="AT38" s="8">
        <f t="shared" si="11"/>
        <v>10.0062</v>
      </c>
      <c r="AU38" s="26">
        <f t="shared" si="6"/>
        <v>0</v>
      </c>
      <c r="AV38" s="13">
        <f t="shared" si="12"/>
        <v>0.07</v>
      </c>
      <c r="AW38" s="26">
        <f t="shared" si="13"/>
        <v>0</v>
      </c>
      <c r="AX38" s="26">
        <f t="shared" si="14"/>
        <v>0</v>
      </c>
      <c r="AY38" s="26">
        <f t="shared" si="7"/>
        <v>0</v>
      </c>
    </row>
    <row r="39" spans="22:51" ht="15.75">
      <c r="V39" s="16">
        <v>14</v>
      </c>
      <c r="W39" s="16">
        <f t="shared" si="3"/>
        <v>0</v>
      </c>
      <c r="X39" s="13">
        <f t="shared" si="4"/>
        <v>0</v>
      </c>
      <c r="Y39" s="14">
        <f t="shared" si="8"/>
        <v>4.940510330799841</v>
      </c>
      <c r="Z39" s="14">
        <f t="shared" si="15"/>
        <v>0</v>
      </c>
      <c r="AA39" s="14">
        <f t="shared" si="16"/>
        <v>0</v>
      </c>
      <c r="AB39" s="14"/>
      <c r="AC39" s="14"/>
      <c r="AD39" s="14"/>
      <c r="AE39" s="8"/>
      <c r="AF39" s="14">
        <f t="shared" si="17"/>
        <v>0</v>
      </c>
      <c r="AG39" s="14">
        <f t="shared" si="18"/>
        <v>10</v>
      </c>
      <c r="AH39" s="25">
        <f t="shared" si="19"/>
        <v>0</v>
      </c>
      <c r="AI39" s="14">
        <f t="shared" si="20"/>
        <v>10</v>
      </c>
      <c r="AJ39" s="14">
        <f t="shared" si="9"/>
        <v>10.50881623495915</v>
      </c>
      <c r="AK39" s="14"/>
      <c r="AL39" s="7">
        <f t="shared" si="2"/>
        <v>9</v>
      </c>
      <c r="AM39" s="14">
        <f t="shared" si="0"/>
        <v>1.285333206067903</v>
      </c>
      <c r="AN39" s="7">
        <f t="shared" si="1"/>
        <v>9.1</v>
      </c>
      <c r="AP39" s="14"/>
      <c r="AQ39" s="14"/>
      <c r="AR39" s="14">
        <f t="shared" si="10"/>
        <v>0</v>
      </c>
      <c r="AS39" s="14">
        <f t="shared" si="5"/>
        <v>10.0062</v>
      </c>
      <c r="AT39" s="8">
        <f t="shared" si="11"/>
        <v>10.0062</v>
      </c>
      <c r="AU39" s="26">
        <f t="shared" si="6"/>
        <v>0</v>
      </c>
      <c r="AV39" s="13">
        <f t="shared" si="12"/>
        <v>0.07</v>
      </c>
      <c r="AW39" s="26">
        <f t="shared" si="13"/>
        <v>0</v>
      </c>
      <c r="AX39" s="26">
        <f t="shared" si="14"/>
        <v>0</v>
      </c>
      <c r="AY39" s="26">
        <f t="shared" si="7"/>
        <v>0</v>
      </c>
    </row>
    <row r="40" spans="22:51" ht="15.75">
      <c r="V40" s="16">
        <v>15</v>
      </c>
      <c r="W40" s="16">
        <f t="shared" si="3"/>
        <v>0</v>
      </c>
      <c r="X40" s="13">
        <f t="shared" si="4"/>
        <v>0</v>
      </c>
      <c r="Y40" s="14">
        <f t="shared" si="8"/>
        <v>4.940510330799841</v>
      </c>
      <c r="Z40" s="14">
        <f t="shared" si="15"/>
        <v>0</v>
      </c>
      <c r="AA40" s="14">
        <f t="shared" si="16"/>
        <v>0</v>
      </c>
      <c r="AB40" s="14"/>
      <c r="AC40" s="14"/>
      <c r="AD40" s="14"/>
      <c r="AE40" s="8"/>
      <c r="AF40" s="14">
        <f t="shared" si="17"/>
        <v>0</v>
      </c>
      <c r="AG40" s="14">
        <f t="shared" si="18"/>
        <v>10</v>
      </c>
      <c r="AH40" s="25">
        <f t="shared" si="19"/>
        <v>0</v>
      </c>
      <c r="AI40" s="14">
        <f t="shared" si="20"/>
        <v>10</v>
      </c>
      <c r="AJ40" s="14">
        <f t="shared" si="9"/>
        <v>10.50881623495915</v>
      </c>
      <c r="AK40" s="14"/>
      <c r="AL40" s="7">
        <f t="shared" si="2"/>
        <v>10</v>
      </c>
      <c r="AM40" s="14">
        <f t="shared" si="0"/>
        <v>1.4281480067421146</v>
      </c>
      <c r="AN40" s="7">
        <f aca="true" t="shared" si="21" ref="AN40:AN78">IF(AL40&lt;AL41,$AM$9-TAN($AM$11)*AM40,0)</f>
        <v>0</v>
      </c>
      <c r="AP40" s="14"/>
      <c r="AQ40" s="14"/>
      <c r="AR40" s="14">
        <f t="shared" si="10"/>
        <v>0</v>
      </c>
      <c r="AS40" s="14">
        <f t="shared" si="5"/>
        <v>10.0062</v>
      </c>
      <c r="AT40" s="8">
        <f t="shared" si="11"/>
        <v>10.0062</v>
      </c>
      <c r="AU40" s="26">
        <f t="shared" si="6"/>
        <v>0</v>
      </c>
      <c r="AV40" s="13">
        <f t="shared" si="12"/>
        <v>0.07</v>
      </c>
      <c r="AW40" s="26">
        <f t="shared" si="13"/>
        <v>0</v>
      </c>
      <c r="AX40" s="26">
        <f t="shared" si="14"/>
        <v>0</v>
      </c>
      <c r="AY40" s="26">
        <f t="shared" si="7"/>
        <v>0</v>
      </c>
    </row>
    <row r="41" spans="22:51" ht="15.75">
      <c r="V41" s="7">
        <v>16</v>
      </c>
      <c r="W41" s="16">
        <f t="shared" si="3"/>
        <v>0</v>
      </c>
      <c r="X41" s="13">
        <f t="shared" si="4"/>
        <v>0</v>
      </c>
      <c r="Y41" s="14">
        <f t="shared" si="8"/>
        <v>4.940510330799841</v>
      </c>
      <c r="Z41" s="14">
        <f t="shared" si="15"/>
        <v>0</v>
      </c>
      <c r="AA41" s="14">
        <f t="shared" si="16"/>
        <v>0</v>
      </c>
      <c r="AB41" s="14"/>
      <c r="AC41" s="14"/>
      <c r="AD41" s="14"/>
      <c r="AE41" s="8"/>
      <c r="AF41" s="14">
        <f t="shared" si="17"/>
        <v>0</v>
      </c>
      <c r="AG41" s="14">
        <f t="shared" si="18"/>
        <v>10</v>
      </c>
      <c r="AH41" s="25">
        <f t="shared" si="19"/>
        <v>0</v>
      </c>
      <c r="AI41" s="14">
        <f t="shared" si="20"/>
        <v>10</v>
      </c>
      <c r="AJ41" s="14">
        <f t="shared" si="9"/>
        <v>10.50881623495915</v>
      </c>
      <c r="AK41" s="14"/>
      <c r="AL41" s="7">
        <f t="shared" si="2"/>
        <v>10</v>
      </c>
      <c r="AM41" s="14">
        <f t="shared" si="0"/>
        <v>1.4281480067421146</v>
      </c>
      <c r="AN41" s="7">
        <f t="shared" si="21"/>
        <v>9</v>
      </c>
      <c r="AP41" s="14"/>
      <c r="AQ41" s="14"/>
      <c r="AR41" s="14">
        <f t="shared" si="10"/>
        <v>0</v>
      </c>
      <c r="AS41" s="14">
        <f t="shared" si="5"/>
        <v>10.0062</v>
      </c>
      <c r="AT41" s="8">
        <f t="shared" si="11"/>
        <v>10.0062</v>
      </c>
      <c r="AU41" s="26">
        <f t="shared" si="6"/>
        <v>0</v>
      </c>
      <c r="AV41" s="13">
        <f t="shared" si="12"/>
        <v>0.07</v>
      </c>
      <c r="AW41" s="26">
        <f t="shared" si="13"/>
        <v>0</v>
      </c>
      <c r="AX41" s="26">
        <f t="shared" si="14"/>
        <v>0</v>
      </c>
      <c r="AY41" s="26">
        <f t="shared" si="7"/>
        <v>0</v>
      </c>
    </row>
    <row r="42" spans="22:51" ht="15.75">
      <c r="V42" s="16">
        <v>17</v>
      </c>
      <c r="W42" s="16">
        <f t="shared" si="3"/>
        <v>0</v>
      </c>
      <c r="X42" s="13">
        <f t="shared" si="4"/>
        <v>0</v>
      </c>
      <c r="Y42" s="14">
        <f t="shared" si="8"/>
        <v>4.940510330799841</v>
      </c>
      <c r="Z42" s="14">
        <f t="shared" si="15"/>
        <v>0</v>
      </c>
      <c r="AA42" s="14">
        <f t="shared" si="16"/>
        <v>0</v>
      </c>
      <c r="AB42" s="14"/>
      <c r="AC42" s="14"/>
      <c r="AD42" s="14"/>
      <c r="AE42" s="8"/>
      <c r="AF42" s="14">
        <f t="shared" si="17"/>
        <v>0</v>
      </c>
      <c r="AG42" s="14">
        <f t="shared" si="18"/>
        <v>10</v>
      </c>
      <c r="AH42" s="25">
        <f t="shared" si="19"/>
        <v>0</v>
      </c>
      <c r="AI42" s="14">
        <f t="shared" si="20"/>
        <v>10</v>
      </c>
      <c r="AJ42" s="14">
        <f t="shared" si="9"/>
        <v>10.50881623495915</v>
      </c>
      <c r="AK42" s="14"/>
      <c r="AL42" s="7">
        <f t="shared" si="2"/>
        <v>11</v>
      </c>
      <c r="AM42" s="14">
        <f t="shared" si="0"/>
        <v>1.570962807416326</v>
      </c>
      <c r="AN42" s="7">
        <f t="shared" si="21"/>
        <v>0</v>
      </c>
      <c r="AP42" s="14"/>
      <c r="AQ42" s="14"/>
      <c r="AR42" s="14">
        <f t="shared" si="10"/>
        <v>0</v>
      </c>
      <c r="AS42" s="14">
        <f t="shared" si="5"/>
        <v>10.0062</v>
      </c>
      <c r="AT42" s="8">
        <f t="shared" si="11"/>
        <v>10.0062</v>
      </c>
      <c r="AU42" s="26">
        <f t="shared" si="6"/>
        <v>0</v>
      </c>
      <c r="AV42" s="13">
        <f t="shared" si="12"/>
        <v>0.07</v>
      </c>
      <c r="AW42" s="26">
        <f t="shared" si="13"/>
        <v>0</v>
      </c>
      <c r="AX42" s="26">
        <f t="shared" si="14"/>
        <v>0</v>
      </c>
      <c r="AY42" s="26">
        <f t="shared" si="7"/>
        <v>0</v>
      </c>
    </row>
    <row r="43" spans="22:51" ht="15.75">
      <c r="V43" s="16">
        <v>18</v>
      </c>
      <c r="W43" s="16">
        <f t="shared" si="3"/>
        <v>0</v>
      </c>
      <c r="X43" s="13">
        <f t="shared" si="4"/>
        <v>0</v>
      </c>
      <c r="Y43" s="14">
        <f t="shared" si="8"/>
        <v>4.940510330799841</v>
      </c>
      <c r="Z43" s="14">
        <f t="shared" si="15"/>
        <v>0</v>
      </c>
      <c r="AA43" s="14">
        <f t="shared" si="16"/>
        <v>0</v>
      </c>
      <c r="AB43" s="14"/>
      <c r="AC43" s="14"/>
      <c r="AD43" s="14"/>
      <c r="AE43" s="8"/>
      <c r="AF43" s="14">
        <f t="shared" si="17"/>
        <v>0</v>
      </c>
      <c r="AG43" s="14">
        <f t="shared" si="18"/>
        <v>10</v>
      </c>
      <c r="AH43" s="25">
        <f t="shared" si="19"/>
        <v>0</v>
      </c>
      <c r="AI43" s="14">
        <f t="shared" si="20"/>
        <v>10</v>
      </c>
      <c r="AJ43" s="14">
        <f t="shared" si="9"/>
        <v>10.50881623495915</v>
      </c>
      <c r="AK43" s="14"/>
      <c r="AL43" s="7">
        <f t="shared" si="2"/>
        <v>11</v>
      </c>
      <c r="AM43" s="14">
        <f t="shared" si="0"/>
        <v>1.570962807416326</v>
      </c>
      <c r="AN43" s="7">
        <f t="shared" si="21"/>
        <v>8.9</v>
      </c>
      <c r="AP43" s="14"/>
      <c r="AQ43" s="14"/>
      <c r="AR43" s="14">
        <f t="shared" si="10"/>
        <v>0</v>
      </c>
      <c r="AS43" s="14">
        <f t="shared" si="5"/>
        <v>10.0062</v>
      </c>
      <c r="AT43" s="8">
        <f t="shared" si="11"/>
        <v>10.0062</v>
      </c>
      <c r="AU43" s="26">
        <f t="shared" si="6"/>
        <v>0</v>
      </c>
      <c r="AV43" s="13">
        <f t="shared" si="12"/>
        <v>0.07</v>
      </c>
      <c r="AW43" s="26">
        <f t="shared" si="13"/>
        <v>0</v>
      </c>
      <c r="AX43" s="26">
        <f t="shared" si="14"/>
        <v>0</v>
      </c>
      <c r="AY43" s="26">
        <f t="shared" si="7"/>
        <v>0</v>
      </c>
    </row>
    <row r="44" spans="22:51" ht="15.75">
      <c r="V44" s="7">
        <v>19</v>
      </c>
      <c r="W44" s="16">
        <f t="shared" si="3"/>
        <v>0</v>
      </c>
      <c r="X44" s="13">
        <f t="shared" si="4"/>
        <v>0</v>
      </c>
      <c r="Y44" s="14">
        <f t="shared" si="8"/>
        <v>4.940510330799841</v>
      </c>
      <c r="Z44" s="14">
        <f t="shared" si="15"/>
        <v>0</v>
      </c>
      <c r="AA44" s="14">
        <f t="shared" si="16"/>
        <v>0</v>
      </c>
      <c r="AB44" s="14"/>
      <c r="AC44" s="14"/>
      <c r="AD44" s="14"/>
      <c r="AE44" s="8"/>
      <c r="AF44" s="14">
        <f t="shared" si="17"/>
        <v>0</v>
      </c>
      <c r="AG44" s="14">
        <f t="shared" si="18"/>
        <v>10</v>
      </c>
      <c r="AH44" s="25">
        <f t="shared" si="19"/>
        <v>0</v>
      </c>
      <c r="AI44" s="14">
        <f t="shared" si="20"/>
        <v>10</v>
      </c>
      <c r="AJ44" s="14">
        <f t="shared" si="9"/>
        <v>10.50881623495915</v>
      </c>
      <c r="AK44" s="14"/>
      <c r="AL44" s="7">
        <f t="shared" si="2"/>
        <v>12</v>
      </c>
      <c r="AM44" s="14">
        <f t="shared" si="0"/>
        <v>1.7137776080905374</v>
      </c>
      <c r="AN44" s="7">
        <f t="shared" si="21"/>
        <v>0</v>
      </c>
      <c r="AP44" s="14"/>
      <c r="AQ44" s="14"/>
      <c r="AR44" s="14">
        <f t="shared" si="10"/>
        <v>0</v>
      </c>
      <c r="AS44" s="14">
        <f t="shared" si="5"/>
        <v>10.0062</v>
      </c>
      <c r="AT44" s="8">
        <f t="shared" si="11"/>
        <v>10.0062</v>
      </c>
      <c r="AU44" s="26">
        <f t="shared" si="6"/>
        <v>0</v>
      </c>
      <c r="AV44" s="13">
        <f t="shared" si="12"/>
        <v>0.07</v>
      </c>
      <c r="AW44" s="26">
        <f t="shared" si="13"/>
        <v>0</v>
      </c>
      <c r="AX44" s="26">
        <f t="shared" si="14"/>
        <v>0</v>
      </c>
      <c r="AY44" s="26">
        <f t="shared" si="7"/>
        <v>0</v>
      </c>
    </row>
    <row r="45" spans="22:51" ht="15.75">
      <c r="V45" s="16">
        <v>20</v>
      </c>
      <c r="W45" s="16">
        <f t="shared" si="3"/>
        <v>0</v>
      </c>
      <c r="X45" s="13">
        <f t="shared" si="4"/>
        <v>0</v>
      </c>
      <c r="Y45" s="14">
        <f t="shared" si="8"/>
        <v>4.940510330799841</v>
      </c>
      <c r="Z45" s="14">
        <f t="shared" si="15"/>
        <v>0</v>
      </c>
      <c r="AA45" s="14">
        <f t="shared" si="16"/>
        <v>0</v>
      </c>
      <c r="AB45" s="14"/>
      <c r="AC45" s="14"/>
      <c r="AD45" s="14"/>
      <c r="AE45" s="8"/>
      <c r="AF45" s="14">
        <f t="shared" si="17"/>
        <v>0</v>
      </c>
      <c r="AG45" s="14">
        <f t="shared" si="18"/>
        <v>10</v>
      </c>
      <c r="AH45" s="25">
        <f t="shared" si="19"/>
        <v>0</v>
      </c>
      <c r="AI45" s="14">
        <f t="shared" si="20"/>
        <v>10</v>
      </c>
      <c r="AJ45" s="14">
        <f t="shared" si="9"/>
        <v>10.50881623495915</v>
      </c>
      <c r="AK45" s="14"/>
      <c r="AL45" s="7">
        <f t="shared" si="2"/>
        <v>12</v>
      </c>
      <c r="AM45" s="14">
        <f t="shared" si="0"/>
        <v>1.7137776080905374</v>
      </c>
      <c r="AN45" s="7">
        <f t="shared" si="21"/>
        <v>8.8</v>
      </c>
      <c r="AP45" s="14"/>
      <c r="AQ45" s="14"/>
      <c r="AR45" s="14">
        <f t="shared" si="10"/>
        <v>0</v>
      </c>
      <c r="AS45" s="14">
        <f t="shared" si="5"/>
        <v>10.0062</v>
      </c>
      <c r="AT45" s="8">
        <f t="shared" si="11"/>
        <v>10.0062</v>
      </c>
      <c r="AU45" s="26">
        <f t="shared" si="6"/>
        <v>0</v>
      </c>
      <c r="AV45" s="13">
        <f t="shared" si="12"/>
        <v>0.07</v>
      </c>
      <c r="AW45" s="26">
        <f t="shared" si="13"/>
        <v>0</v>
      </c>
      <c r="AX45" s="26">
        <f t="shared" si="14"/>
        <v>0</v>
      </c>
      <c r="AY45" s="26">
        <f t="shared" si="7"/>
        <v>0</v>
      </c>
    </row>
    <row r="46" spans="22:51" ht="15.75">
      <c r="V46" s="16">
        <v>21</v>
      </c>
      <c r="W46" s="16">
        <f t="shared" si="3"/>
        <v>0</v>
      </c>
      <c r="X46" s="13">
        <f t="shared" si="4"/>
        <v>0</v>
      </c>
      <c r="Y46" s="14">
        <f t="shared" si="8"/>
        <v>4.940510330799841</v>
      </c>
      <c r="Z46" s="14">
        <f t="shared" si="15"/>
        <v>0</v>
      </c>
      <c r="AA46" s="14">
        <f t="shared" si="16"/>
        <v>0</v>
      </c>
      <c r="AB46" s="14"/>
      <c r="AC46" s="14"/>
      <c r="AD46" s="14"/>
      <c r="AE46" s="8"/>
      <c r="AF46" s="14">
        <f t="shared" si="17"/>
        <v>0</v>
      </c>
      <c r="AG46" s="14">
        <f t="shared" si="18"/>
        <v>10</v>
      </c>
      <c r="AH46" s="25">
        <f t="shared" si="19"/>
        <v>0</v>
      </c>
      <c r="AI46" s="14">
        <f t="shared" si="20"/>
        <v>10</v>
      </c>
      <c r="AJ46" s="14">
        <f t="shared" si="9"/>
        <v>10.50881623495915</v>
      </c>
      <c r="AK46" s="14"/>
      <c r="AL46" s="7">
        <f t="shared" si="2"/>
        <v>13</v>
      </c>
      <c r="AM46" s="14">
        <f t="shared" si="0"/>
        <v>1.856592408764749</v>
      </c>
      <c r="AN46" s="7">
        <f t="shared" si="21"/>
        <v>0</v>
      </c>
      <c r="AP46" s="14"/>
      <c r="AQ46" s="14"/>
      <c r="AR46" s="14">
        <f t="shared" si="10"/>
        <v>0</v>
      </c>
      <c r="AS46" s="14">
        <f t="shared" si="5"/>
        <v>10.0062</v>
      </c>
      <c r="AT46" s="8">
        <f t="shared" si="11"/>
        <v>10.0062</v>
      </c>
      <c r="AU46" s="26">
        <f t="shared" si="6"/>
        <v>0</v>
      </c>
      <c r="AV46" s="13">
        <f t="shared" si="12"/>
        <v>0.07</v>
      </c>
      <c r="AW46" s="26">
        <f t="shared" si="13"/>
        <v>0</v>
      </c>
      <c r="AX46" s="26">
        <f t="shared" si="14"/>
        <v>0</v>
      </c>
      <c r="AY46" s="26">
        <f t="shared" si="7"/>
        <v>0</v>
      </c>
    </row>
    <row r="47" spans="22:51" ht="15.75">
      <c r="V47" s="16">
        <v>22</v>
      </c>
      <c r="W47" s="16">
        <f t="shared" si="3"/>
        <v>0</v>
      </c>
      <c r="X47" s="13">
        <f t="shared" si="4"/>
        <v>0</v>
      </c>
      <c r="Y47" s="14">
        <f t="shared" si="8"/>
        <v>4.940510330799841</v>
      </c>
      <c r="Z47" s="14">
        <f t="shared" si="15"/>
        <v>0</v>
      </c>
      <c r="AA47" s="14">
        <f t="shared" si="16"/>
        <v>0</v>
      </c>
      <c r="AB47" s="14"/>
      <c r="AC47" s="14"/>
      <c r="AD47" s="14"/>
      <c r="AE47" s="8"/>
      <c r="AF47" s="14">
        <f t="shared" si="17"/>
        <v>0</v>
      </c>
      <c r="AG47" s="14">
        <f t="shared" si="18"/>
        <v>10</v>
      </c>
      <c r="AH47" s="25">
        <f t="shared" si="19"/>
        <v>0</v>
      </c>
      <c r="AI47" s="14">
        <f t="shared" si="20"/>
        <v>10</v>
      </c>
      <c r="AJ47" s="14">
        <f t="shared" si="9"/>
        <v>10.50881623495915</v>
      </c>
      <c r="AK47" s="14"/>
      <c r="AL47" s="7">
        <f t="shared" si="2"/>
        <v>13</v>
      </c>
      <c r="AM47" s="14">
        <f t="shared" si="0"/>
        <v>1.856592408764749</v>
      </c>
      <c r="AN47" s="7">
        <f t="shared" si="21"/>
        <v>8.7</v>
      </c>
      <c r="AP47" s="14"/>
      <c r="AQ47" s="14"/>
      <c r="AR47" s="14">
        <f t="shared" si="10"/>
        <v>0</v>
      </c>
      <c r="AS47" s="14">
        <f t="shared" si="5"/>
        <v>10.0062</v>
      </c>
      <c r="AT47" s="8">
        <f t="shared" si="11"/>
        <v>10.0062</v>
      </c>
      <c r="AU47" s="26">
        <f t="shared" si="6"/>
        <v>0</v>
      </c>
      <c r="AV47" s="13">
        <f t="shared" si="12"/>
        <v>0.07</v>
      </c>
      <c r="AW47" s="26">
        <f t="shared" si="13"/>
        <v>0</v>
      </c>
      <c r="AX47" s="26">
        <f t="shared" si="14"/>
        <v>0</v>
      </c>
      <c r="AY47" s="26">
        <f t="shared" si="7"/>
        <v>0</v>
      </c>
    </row>
    <row r="48" spans="22:51" ht="15.75">
      <c r="V48" s="7">
        <v>23</v>
      </c>
      <c r="W48" s="16">
        <f t="shared" si="3"/>
        <v>0</v>
      </c>
      <c r="X48" s="13">
        <f t="shared" si="4"/>
        <v>0</v>
      </c>
      <c r="Y48" s="14">
        <f t="shared" si="8"/>
        <v>4.940510330799841</v>
      </c>
      <c r="Z48" s="14">
        <f t="shared" si="15"/>
        <v>0</v>
      </c>
      <c r="AA48" s="14">
        <f t="shared" si="16"/>
        <v>0</v>
      </c>
      <c r="AB48" s="14"/>
      <c r="AC48" s="14"/>
      <c r="AD48" s="14"/>
      <c r="AE48" s="8"/>
      <c r="AF48" s="14">
        <f t="shared" si="17"/>
        <v>0</v>
      </c>
      <c r="AG48" s="14">
        <f t="shared" si="18"/>
        <v>10</v>
      </c>
      <c r="AH48" s="25">
        <f t="shared" si="19"/>
        <v>0</v>
      </c>
      <c r="AI48" s="14">
        <f t="shared" si="20"/>
        <v>10</v>
      </c>
      <c r="AJ48" s="14">
        <f t="shared" si="9"/>
        <v>10.50881623495915</v>
      </c>
      <c r="AK48" s="14"/>
      <c r="AL48" s="7">
        <f t="shared" si="2"/>
        <v>14</v>
      </c>
      <c r="AM48" s="14">
        <f t="shared" si="0"/>
        <v>1.9994072094389603</v>
      </c>
      <c r="AN48" s="7">
        <f t="shared" si="21"/>
        <v>0</v>
      </c>
      <c r="AP48" s="14"/>
      <c r="AQ48" s="14"/>
      <c r="AR48" s="14">
        <f t="shared" si="10"/>
        <v>0</v>
      </c>
      <c r="AS48" s="14">
        <f t="shared" si="5"/>
        <v>10.0062</v>
      </c>
      <c r="AT48" s="8">
        <f t="shared" si="11"/>
        <v>10.0062</v>
      </c>
      <c r="AU48" s="26">
        <f t="shared" si="6"/>
        <v>0</v>
      </c>
      <c r="AV48" s="13">
        <f t="shared" si="12"/>
        <v>0.07</v>
      </c>
      <c r="AW48" s="26">
        <f t="shared" si="13"/>
        <v>0</v>
      </c>
      <c r="AX48" s="26">
        <f t="shared" si="14"/>
        <v>0</v>
      </c>
      <c r="AY48" s="26">
        <f t="shared" si="7"/>
        <v>0</v>
      </c>
    </row>
    <row r="49" spans="22:51" ht="15.75">
      <c r="V49" s="16">
        <v>24</v>
      </c>
      <c r="W49" s="16">
        <f t="shared" si="3"/>
        <v>0</v>
      </c>
      <c r="X49" s="13">
        <f t="shared" si="4"/>
        <v>0</v>
      </c>
      <c r="Y49" s="14">
        <f t="shared" si="8"/>
        <v>4.940510330799841</v>
      </c>
      <c r="Z49" s="14">
        <f t="shared" si="15"/>
        <v>0</v>
      </c>
      <c r="AA49" s="14">
        <f t="shared" si="16"/>
        <v>0</v>
      </c>
      <c r="AB49" s="14"/>
      <c r="AC49" s="14"/>
      <c r="AD49" s="14"/>
      <c r="AE49" s="8"/>
      <c r="AF49" s="14">
        <f t="shared" si="17"/>
        <v>0</v>
      </c>
      <c r="AG49" s="14">
        <f t="shared" si="18"/>
        <v>10</v>
      </c>
      <c r="AH49" s="25">
        <f t="shared" si="19"/>
        <v>0</v>
      </c>
      <c r="AI49" s="14">
        <f t="shared" si="20"/>
        <v>10</v>
      </c>
      <c r="AJ49" s="14">
        <f t="shared" si="9"/>
        <v>10.50881623495915</v>
      </c>
      <c r="AK49" s="14"/>
      <c r="AL49" s="7">
        <f t="shared" si="2"/>
        <v>14</v>
      </c>
      <c r="AM49" s="14">
        <f t="shared" si="0"/>
        <v>1.9994072094389603</v>
      </c>
      <c r="AN49" s="7">
        <f t="shared" si="21"/>
        <v>8.6</v>
      </c>
      <c r="AP49" s="14"/>
      <c r="AQ49" s="14"/>
      <c r="AR49" s="14">
        <f t="shared" si="10"/>
        <v>0</v>
      </c>
      <c r="AS49" s="14">
        <f t="shared" si="5"/>
        <v>10.0062</v>
      </c>
      <c r="AT49" s="8">
        <f t="shared" si="11"/>
        <v>10.0062</v>
      </c>
      <c r="AU49" s="26">
        <f t="shared" si="6"/>
        <v>0</v>
      </c>
      <c r="AV49" s="13">
        <f t="shared" si="12"/>
        <v>0.07</v>
      </c>
      <c r="AW49" s="26">
        <f t="shared" si="13"/>
        <v>0</v>
      </c>
      <c r="AX49" s="26">
        <f t="shared" si="14"/>
        <v>0</v>
      </c>
      <c r="AY49" s="26">
        <f t="shared" si="7"/>
        <v>0</v>
      </c>
    </row>
    <row r="50" spans="22:51" ht="15.75">
      <c r="V50" s="16">
        <v>25</v>
      </c>
      <c r="W50" s="16">
        <f t="shared" si="3"/>
        <v>0</v>
      </c>
      <c r="X50" s="13">
        <f t="shared" si="4"/>
        <v>0</v>
      </c>
      <c r="Y50" s="14">
        <f t="shared" si="8"/>
        <v>4.940510330799841</v>
      </c>
      <c r="Z50" s="14">
        <f t="shared" si="15"/>
        <v>0</v>
      </c>
      <c r="AA50" s="14">
        <f t="shared" si="16"/>
        <v>0</v>
      </c>
      <c r="AB50" s="14"/>
      <c r="AC50" s="14"/>
      <c r="AD50" s="14"/>
      <c r="AE50" s="8"/>
      <c r="AF50" s="14">
        <f t="shared" si="17"/>
        <v>0</v>
      </c>
      <c r="AG50" s="14">
        <f t="shared" si="18"/>
        <v>10</v>
      </c>
      <c r="AH50" s="25">
        <f t="shared" si="19"/>
        <v>0</v>
      </c>
      <c r="AI50" s="14">
        <f t="shared" si="20"/>
        <v>10</v>
      </c>
      <c r="AJ50" s="14">
        <f t="shared" si="9"/>
        <v>10.50881623495915</v>
      </c>
      <c r="AK50" s="14"/>
      <c r="AL50" s="7">
        <f t="shared" si="2"/>
        <v>15</v>
      </c>
      <c r="AM50" s="14">
        <f t="shared" si="0"/>
        <v>2.142222010113172</v>
      </c>
      <c r="AN50" s="7">
        <f t="shared" si="21"/>
        <v>0</v>
      </c>
      <c r="AP50" s="14"/>
      <c r="AQ50" s="14"/>
      <c r="AR50" s="14">
        <f t="shared" si="10"/>
        <v>0</v>
      </c>
      <c r="AS50" s="14">
        <f t="shared" si="5"/>
        <v>10.0062</v>
      </c>
      <c r="AT50" s="8">
        <f t="shared" si="11"/>
        <v>10.0062</v>
      </c>
      <c r="AU50" s="26">
        <f t="shared" si="6"/>
        <v>0</v>
      </c>
      <c r="AV50" s="13">
        <f t="shared" si="12"/>
        <v>0.07</v>
      </c>
      <c r="AW50" s="26">
        <f t="shared" si="13"/>
        <v>0</v>
      </c>
      <c r="AX50" s="26">
        <f t="shared" si="14"/>
        <v>0</v>
      </c>
      <c r="AY50" s="26">
        <f t="shared" si="7"/>
        <v>0</v>
      </c>
    </row>
    <row r="51" spans="22:51" ht="15.75">
      <c r="V51" s="16">
        <v>26</v>
      </c>
      <c r="W51" s="16">
        <f t="shared" si="3"/>
        <v>0</v>
      </c>
      <c r="X51" s="13">
        <f t="shared" si="4"/>
        <v>0</v>
      </c>
      <c r="Y51" s="14">
        <f t="shared" si="8"/>
        <v>4.940510330799841</v>
      </c>
      <c r="Z51" s="14">
        <f t="shared" si="15"/>
        <v>0</v>
      </c>
      <c r="AA51" s="14">
        <f t="shared" si="16"/>
        <v>0</v>
      </c>
      <c r="AB51" s="14"/>
      <c r="AC51" s="14"/>
      <c r="AD51" s="14"/>
      <c r="AE51" s="8"/>
      <c r="AF51" s="14">
        <f t="shared" si="17"/>
        <v>0</v>
      </c>
      <c r="AG51" s="14">
        <f t="shared" si="18"/>
        <v>10</v>
      </c>
      <c r="AH51" s="25">
        <f t="shared" si="19"/>
        <v>0</v>
      </c>
      <c r="AI51" s="14">
        <f t="shared" si="20"/>
        <v>10</v>
      </c>
      <c r="AJ51" s="14">
        <f t="shared" si="9"/>
        <v>10.50881623495915</v>
      </c>
      <c r="AK51" s="14"/>
      <c r="AL51" s="7">
        <f t="shared" si="2"/>
        <v>15</v>
      </c>
      <c r="AM51" s="14">
        <f t="shared" si="0"/>
        <v>2.142222010113172</v>
      </c>
      <c r="AN51" s="7">
        <f t="shared" si="21"/>
        <v>8.5</v>
      </c>
      <c r="AP51" s="14"/>
      <c r="AQ51" s="14"/>
      <c r="AR51" s="14">
        <f t="shared" si="10"/>
        <v>0</v>
      </c>
      <c r="AS51" s="14">
        <f t="shared" si="5"/>
        <v>10.0062</v>
      </c>
      <c r="AT51" s="8">
        <f t="shared" si="11"/>
        <v>10.0062</v>
      </c>
      <c r="AU51" s="26">
        <f t="shared" si="6"/>
        <v>0</v>
      </c>
      <c r="AV51" s="13">
        <f t="shared" si="12"/>
        <v>0.07</v>
      </c>
      <c r="AW51" s="26">
        <f t="shared" si="13"/>
        <v>0</v>
      </c>
      <c r="AX51" s="26">
        <f t="shared" si="14"/>
        <v>0</v>
      </c>
      <c r="AY51" s="26">
        <f t="shared" si="7"/>
        <v>0</v>
      </c>
    </row>
    <row r="52" spans="22:51" ht="15.75">
      <c r="V52" s="7">
        <v>27</v>
      </c>
      <c r="W52" s="16">
        <f t="shared" si="3"/>
        <v>0</v>
      </c>
      <c r="X52" s="13">
        <f t="shared" si="4"/>
        <v>0</v>
      </c>
      <c r="Y52" s="14">
        <f t="shared" si="8"/>
        <v>4.940510330799841</v>
      </c>
      <c r="Z52" s="14">
        <f t="shared" si="15"/>
        <v>0</v>
      </c>
      <c r="AA52" s="14">
        <f t="shared" si="16"/>
        <v>0</v>
      </c>
      <c r="AB52" s="14"/>
      <c r="AC52" s="14"/>
      <c r="AD52" s="14"/>
      <c r="AE52" s="8"/>
      <c r="AF52" s="14">
        <f t="shared" si="17"/>
        <v>0</v>
      </c>
      <c r="AG52" s="14">
        <f t="shared" si="18"/>
        <v>10</v>
      </c>
      <c r="AH52" s="25">
        <f t="shared" si="19"/>
        <v>0</v>
      </c>
      <c r="AI52" s="14">
        <f t="shared" si="20"/>
        <v>10</v>
      </c>
      <c r="AJ52" s="14">
        <f t="shared" si="9"/>
        <v>10.50881623495915</v>
      </c>
      <c r="AK52" s="14"/>
      <c r="AL52" s="7">
        <f t="shared" si="2"/>
        <v>16</v>
      </c>
      <c r="AM52" s="14">
        <f t="shared" si="0"/>
        <v>2.2850368107873833</v>
      </c>
      <c r="AN52" s="7">
        <f t="shared" si="21"/>
        <v>0</v>
      </c>
      <c r="AP52" s="14"/>
      <c r="AQ52" s="14"/>
      <c r="AR52" s="14">
        <f t="shared" si="10"/>
        <v>0</v>
      </c>
      <c r="AS52" s="14">
        <f t="shared" si="5"/>
        <v>10.0062</v>
      </c>
      <c r="AT52" s="8">
        <f t="shared" si="11"/>
        <v>10.0062</v>
      </c>
      <c r="AU52" s="26">
        <f t="shared" si="6"/>
        <v>0</v>
      </c>
      <c r="AV52" s="13">
        <f t="shared" si="12"/>
        <v>0.07</v>
      </c>
      <c r="AW52" s="26">
        <f t="shared" si="13"/>
        <v>0</v>
      </c>
      <c r="AX52" s="26">
        <f t="shared" si="14"/>
        <v>0</v>
      </c>
      <c r="AY52" s="26">
        <f t="shared" si="7"/>
        <v>0</v>
      </c>
    </row>
    <row r="53" spans="22:51" ht="15.75">
      <c r="V53" s="16">
        <v>28</v>
      </c>
      <c r="W53" s="16">
        <f t="shared" si="3"/>
        <v>0</v>
      </c>
      <c r="X53" s="13">
        <f t="shared" si="4"/>
        <v>0</v>
      </c>
      <c r="Y53" s="14">
        <f t="shared" si="8"/>
        <v>4.940510330799841</v>
      </c>
      <c r="Z53" s="14">
        <f t="shared" si="15"/>
        <v>0</v>
      </c>
      <c r="AA53" s="14">
        <f t="shared" si="16"/>
        <v>0</v>
      </c>
      <c r="AB53" s="14"/>
      <c r="AC53" s="14"/>
      <c r="AD53" s="14"/>
      <c r="AE53" s="8"/>
      <c r="AF53" s="14">
        <f t="shared" si="17"/>
        <v>0</v>
      </c>
      <c r="AG53" s="14">
        <f t="shared" si="18"/>
        <v>10</v>
      </c>
      <c r="AH53" s="25">
        <f t="shared" si="19"/>
        <v>0</v>
      </c>
      <c r="AI53" s="14">
        <f t="shared" si="20"/>
        <v>10</v>
      </c>
      <c r="AJ53" s="14">
        <f t="shared" si="9"/>
        <v>10.50881623495915</v>
      </c>
      <c r="AK53" s="14"/>
      <c r="AL53" s="7">
        <f t="shared" si="2"/>
        <v>16</v>
      </c>
      <c r="AM53" s="14">
        <f t="shared" si="0"/>
        <v>2.2850368107873833</v>
      </c>
      <c r="AN53" s="7">
        <f t="shared" si="21"/>
        <v>8.4</v>
      </c>
      <c r="AP53" s="14"/>
      <c r="AQ53" s="14"/>
      <c r="AR53" s="14">
        <f t="shared" si="10"/>
        <v>0</v>
      </c>
      <c r="AS53" s="14">
        <f t="shared" si="5"/>
        <v>10.0062</v>
      </c>
      <c r="AT53" s="8">
        <f t="shared" si="11"/>
        <v>10.0062</v>
      </c>
      <c r="AU53" s="26">
        <f t="shared" si="6"/>
        <v>0</v>
      </c>
      <c r="AV53" s="13">
        <f t="shared" si="12"/>
        <v>0.07</v>
      </c>
      <c r="AW53" s="26">
        <f t="shared" si="13"/>
        <v>0</v>
      </c>
      <c r="AX53" s="26">
        <f t="shared" si="14"/>
        <v>0</v>
      </c>
      <c r="AY53" s="26">
        <f t="shared" si="7"/>
        <v>0</v>
      </c>
    </row>
    <row r="54" spans="22:51" ht="15.75">
      <c r="V54" s="16">
        <v>29</v>
      </c>
      <c r="W54" s="16">
        <f t="shared" si="3"/>
        <v>0</v>
      </c>
      <c r="X54" s="13">
        <f t="shared" si="4"/>
        <v>0</v>
      </c>
      <c r="Y54" s="14">
        <f t="shared" si="8"/>
        <v>4.940510330799841</v>
      </c>
      <c r="Z54" s="14">
        <f t="shared" si="15"/>
        <v>0</v>
      </c>
      <c r="AA54" s="14">
        <f t="shared" si="16"/>
        <v>0</v>
      </c>
      <c r="AB54" s="14"/>
      <c r="AC54" s="14"/>
      <c r="AD54" s="14"/>
      <c r="AE54" s="8"/>
      <c r="AF54" s="14">
        <f t="shared" si="17"/>
        <v>0</v>
      </c>
      <c r="AG54" s="14">
        <f t="shared" si="18"/>
        <v>10</v>
      </c>
      <c r="AH54" s="25">
        <f t="shared" si="19"/>
        <v>0</v>
      </c>
      <c r="AI54" s="14">
        <f t="shared" si="20"/>
        <v>10</v>
      </c>
      <c r="AJ54" s="14">
        <f t="shared" si="9"/>
        <v>10.50881623495915</v>
      </c>
      <c r="AK54" s="14"/>
      <c r="AL54" s="7">
        <f t="shared" si="2"/>
        <v>17</v>
      </c>
      <c r="AM54" s="14">
        <f t="shared" si="0"/>
        <v>2.4278516114615947</v>
      </c>
      <c r="AN54" s="7">
        <f t="shared" si="21"/>
        <v>0</v>
      </c>
      <c r="AP54" s="14"/>
      <c r="AQ54" s="14"/>
      <c r="AR54" s="14">
        <f t="shared" si="10"/>
        <v>0</v>
      </c>
      <c r="AS54" s="14">
        <f t="shared" si="5"/>
        <v>10.0062</v>
      </c>
      <c r="AT54" s="8">
        <f t="shared" si="11"/>
        <v>10.0062</v>
      </c>
      <c r="AU54" s="26">
        <f t="shared" si="6"/>
        <v>0</v>
      </c>
      <c r="AV54" s="13">
        <f t="shared" si="12"/>
        <v>0.07</v>
      </c>
      <c r="AW54" s="26">
        <f t="shared" si="13"/>
        <v>0</v>
      </c>
      <c r="AX54" s="26">
        <f t="shared" si="14"/>
        <v>0</v>
      </c>
      <c r="AY54" s="26">
        <f t="shared" si="7"/>
        <v>0</v>
      </c>
    </row>
    <row r="55" spans="22:51" ht="15.75">
      <c r="V55" s="16">
        <v>30</v>
      </c>
      <c r="W55" s="16">
        <f t="shared" si="3"/>
        <v>0</v>
      </c>
      <c r="X55" s="13">
        <f t="shared" si="4"/>
        <v>0</v>
      </c>
      <c r="Y55" s="14">
        <f t="shared" si="8"/>
        <v>4.940510330799841</v>
      </c>
      <c r="Z55" s="14">
        <f t="shared" si="15"/>
        <v>0</v>
      </c>
      <c r="AA55" s="14">
        <f t="shared" si="16"/>
        <v>0</v>
      </c>
      <c r="AB55" s="14"/>
      <c r="AC55" s="14"/>
      <c r="AD55" s="14"/>
      <c r="AE55" s="8"/>
      <c r="AF55" s="14">
        <f t="shared" si="17"/>
        <v>0</v>
      </c>
      <c r="AG55" s="14">
        <f t="shared" si="18"/>
        <v>10</v>
      </c>
      <c r="AH55" s="25">
        <f t="shared" si="19"/>
        <v>0</v>
      </c>
      <c r="AI55" s="14">
        <f t="shared" si="20"/>
        <v>10</v>
      </c>
      <c r="AJ55" s="14">
        <f t="shared" si="9"/>
        <v>10.50881623495915</v>
      </c>
      <c r="AK55" s="14"/>
      <c r="AL55" s="7">
        <f t="shared" si="2"/>
        <v>17</v>
      </c>
      <c r="AM55" s="14">
        <f t="shared" si="0"/>
        <v>2.4278516114615947</v>
      </c>
      <c r="AN55" s="7">
        <f t="shared" si="21"/>
        <v>8.3</v>
      </c>
      <c r="AP55" s="14"/>
      <c r="AQ55" s="14"/>
      <c r="AR55" s="14">
        <f t="shared" si="10"/>
        <v>0</v>
      </c>
      <c r="AS55" s="14">
        <f t="shared" si="5"/>
        <v>10.0062</v>
      </c>
      <c r="AT55" s="8">
        <f t="shared" si="11"/>
        <v>10.0062</v>
      </c>
      <c r="AU55" s="26">
        <f t="shared" si="6"/>
        <v>0</v>
      </c>
      <c r="AV55" s="13">
        <f t="shared" si="12"/>
        <v>0.07</v>
      </c>
      <c r="AW55" s="26">
        <f t="shared" si="13"/>
        <v>0</v>
      </c>
      <c r="AX55" s="26">
        <f t="shared" si="14"/>
        <v>0</v>
      </c>
      <c r="AY55" s="26">
        <f t="shared" si="7"/>
        <v>0</v>
      </c>
    </row>
    <row r="56" spans="22:51" ht="15.75">
      <c r="V56" s="7">
        <v>31</v>
      </c>
      <c r="W56" s="16">
        <f t="shared" si="3"/>
        <v>0</v>
      </c>
      <c r="X56" s="13">
        <f t="shared" si="4"/>
        <v>0</v>
      </c>
      <c r="Y56" s="14">
        <f t="shared" si="8"/>
        <v>4.940510330799841</v>
      </c>
      <c r="Z56" s="14">
        <f t="shared" si="15"/>
        <v>0</v>
      </c>
      <c r="AA56" s="14">
        <f t="shared" si="16"/>
        <v>0</v>
      </c>
      <c r="AB56" s="14"/>
      <c r="AC56" s="14"/>
      <c r="AD56" s="14"/>
      <c r="AE56" s="8"/>
      <c r="AF56" s="14">
        <f t="shared" si="17"/>
        <v>0</v>
      </c>
      <c r="AG56" s="14">
        <f t="shared" si="18"/>
        <v>10</v>
      </c>
      <c r="AH56" s="25">
        <f t="shared" si="19"/>
        <v>0</v>
      </c>
      <c r="AI56" s="14">
        <f t="shared" si="20"/>
        <v>10</v>
      </c>
      <c r="AJ56" s="14">
        <f t="shared" si="9"/>
        <v>10.50881623495915</v>
      </c>
      <c r="AK56" s="14"/>
      <c r="AL56" s="7">
        <f t="shared" si="2"/>
        <v>18</v>
      </c>
      <c r="AM56" s="14">
        <f t="shared" si="0"/>
        <v>2.570666412135806</v>
      </c>
      <c r="AN56" s="7">
        <f t="shared" si="21"/>
        <v>0</v>
      </c>
      <c r="AP56" s="14"/>
      <c r="AQ56" s="14"/>
      <c r="AR56" s="14">
        <f t="shared" si="10"/>
        <v>0</v>
      </c>
      <c r="AS56" s="14">
        <f t="shared" si="5"/>
        <v>10.0062</v>
      </c>
      <c r="AT56" s="8">
        <f t="shared" si="11"/>
        <v>10.0062</v>
      </c>
      <c r="AU56" s="26">
        <f t="shared" si="6"/>
        <v>0</v>
      </c>
      <c r="AV56" s="13">
        <f t="shared" si="12"/>
        <v>0.07</v>
      </c>
      <c r="AW56" s="26">
        <f t="shared" si="13"/>
        <v>0</v>
      </c>
      <c r="AX56" s="26">
        <f t="shared" si="14"/>
        <v>0</v>
      </c>
      <c r="AY56" s="26">
        <f t="shared" si="7"/>
        <v>0</v>
      </c>
    </row>
    <row r="57" spans="22:51" ht="15.75">
      <c r="V57" s="16">
        <v>32</v>
      </c>
      <c r="W57" s="16">
        <f aca="true" t="shared" si="22" ref="W57:W88">MIN(V57,$P$5)</f>
        <v>0</v>
      </c>
      <c r="X57" s="13">
        <f aca="true" t="shared" si="23" ref="X57:X88">W57*$W$23</f>
        <v>0</v>
      </c>
      <c r="Y57" s="14">
        <f t="shared" si="8"/>
        <v>4.940510330799841</v>
      </c>
      <c r="Z57" s="14">
        <f t="shared" si="15"/>
        <v>0</v>
      </c>
      <c r="AA57" s="14">
        <f t="shared" si="16"/>
        <v>0</v>
      </c>
      <c r="AB57" s="14"/>
      <c r="AC57" s="14"/>
      <c r="AD57" s="14"/>
      <c r="AE57" s="8"/>
      <c r="AF57" s="14">
        <f t="shared" si="17"/>
        <v>0</v>
      </c>
      <c r="AG57" s="14">
        <f t="shared" si="18"/>
        <v>10</v>
      </c>
      <c r="AH57" s="25">
        <f t="shared" si="19"/>
        <v>0</v>
      </c>
      <c r="AI57" s="14">
        <f t="shared" si="20"/>
        <v>10</v>
      </c>
      <c r="AJ57" s="14">
        <f t="shared" si="9"/>
        <v>10.50881623495915</v>
      </c>
      <c r="AK57" s="14"/>
      <c r="AL57" s="7">
        <f t="shared" si="2"/>
        <v>18</v>
      </c>
      <c r="AM57" s="14">
        <f t="shared" si="0"/>
        <v>2.570666412135806</v>
      </c>
      <c r="AN57" s="7">
        <f t="shared" si="21"/>
        <v>8.2</v>
      </c>
      <c r="AP57" s="14"/>
      <c r="AQ57" s="14"/>
      <c r="AR57" s="14">
        <f t="shared" si="10"/>
        <v>0</v>
      </c>
      <c r="AS57" s="14">
        <f aca="true" t="shared" si="24" ref="AS57:AS88">0.5*$C$4*$H$4^2+$C$4*9.81*$H$3</f>
        <v>10.0062</v>
      </c>
      <c r="AT57" s="8">
        <f t="shared" si="11"/>
        <v>10.0062</v>
      </c>
      <c r="AU57" s="26">
        <f t="shared" si="6"/>
        <v>0</v>
      </c>
      <c r="AV57" s="13">
        <f t="shared" si="12"/>
        <v>0.07</v>
      </c>
      <c r="AW57" s="26">
        <f t="shared" si="13"/>
        <v>0</v>
      </c>
      <c r="AX57" s="26">
        <f t="shared" si="14"/>
        <v>0</v>
      </c>
      <c r="AY57" s="26">
        <f aca="true" t="shared" si="25" ref="AY57:AY88">AS57-AT57-AU57</f>
        <v>0</v>
      </c>
    </row>
    <row r="58" spans="22:51" ht="15.75">
      <c r="V58" s="16">
        <v>33</v>
      </c>
      <c r="W58" s="16">
        <f t="shared" si="22"/>
        <v>0</v>
      </c>
      <c r="X58" s="13">
        <f t="shared" si="23"/>
        <v>0</v>
      </c>
      <c r="Y58" s="14">
        <f t="shared" si="8"/>
        <v>4.940510330799841</v>
      </c>
      <c r="Z58" s="14">
        <f t="shared" si="15"/>
        <v>0</v>
      </c>
      <c r="AA58" s="14">
        <f t="shared" si="16"/>
        <v>0</v>
      </c>
      <c r="AB58" s="14"/>
      <c r="AC58" s="14"/>
      <c r="AD58" s="14"/>
      <c r="AE58" s="8"/>
      <c r="AF58" s="14">
        <f t="shared" si="17"/>
        <v>0</v>
      </c>
      <c r="AG58" s="14">
        <f t="shared" si="18"/>
        <v>10</v>
      </c>
      <c r="AH58" s="25">
        <f t="shared" si="19"/>
        <v>0</v>
      </c>
      <c r="AI58" s="14">
        <f t="shared" si="20"/>
        <v>10</v>
      </c>
      <c r="AJ58" s="14">
        <f t="shared" si="9"/>
        <v>10.50881623495915</v>
      </c>
      <c r="AK58" s="14"/>
      <c r="AL58" s="7">
        <f t="shared" si="2"/>
        <v>19</v>
      </c>
      <c r="AM58" s="14">
        <f t="shared" si="0"/>
        <v>2.713481212810018</v>
      </c>
      <c r="AN58" s="7">
        <f t="shared" si="21"/>
        <v>0</v>
      </c>
      <c r="AP58" s="14"/>
      <c r="AQ58" s="14"/>
      <c r="AR58" s="14">
        <f t="shared" si="10"/>
        <v>0</v>
      </c>
      <c r="AS58" s="14">
        <f t="shared" si="24"/>
        <v>10.0062</v>
      </c>
      <c r="AT58" s="8">
        <f t="shared" si="11"/>
        <v>10.0062</v>
      </c>
      <c r="AU58" s="26">
        <f t="shared" si="6"/>
        <v>0</v>
      </c>
      <c r="AV58" s="13">
        <f t="shared" si="12"/>
        <v>0.07</v>
      </c>
      <c r="AW58" s="26">
        <f aca="true" t="shared" si="26" ref="AW58:AW89">AR58*(X58-X57)</f>
        <v>0</v>
      </c>
      <c r="AX58" s="26">
        <f aca="true" t="shared" si="27" ref="AX58:AX89">AX57+AV58*AW58</f>
        <v>0</v>
      </c>
      <c r="AY58" s="26">
        <f t="shared" si="25"/>
        <v>0</v>
      </c>
    </row>
    <row r="59" spans="22:51" ht="15.75">
      <c r="V59" s="16">
        <v>34</v>
      </c>
      <c r="W59" s="16">
        <f t="shared" si="22"/>
        <v>0</v>
      </c>
      <c r="X59" s="13">
        <f t="shared" si="23"/>
        <v>0</v>
      </c>
      <c r="Y59" s="14">
        <f t="shared" si="8"/>
        <v>4.940510330799841</v>
      </c>
      <c r="Z59" s="14">
        <f t="shared" si="15"/>
        <v>0</v>
      </c>
      <c r="AA59" s="14">
        <f t="shared" si="16"/>
        <v>0</v>
      </c>
      <c r="AB59" s="14"/>
      <c r="AC59" s="14"/>
      <c r="AD59" s="14"/>
      <c r="AE59" s="8"/>
      <c r="AF59" s="14">
        <f t="shared" si="17"/>
        <v>0</v>
      </c>
      <c r="AG59" s="14">
        <f t="shared" si="18"/>
        <v>10</v>
      </c>
      <c r="AH59" s="25">
        <f t="shared" si="19"/>
        <v>0</v>
      </c>
      <c r="AI59" s="14">
        <f t="shared" si="20"/>
        <v>10</v>
      </c>
      <c r="AJ59" s="14">
        <f t="shared" si="9"/>
        <v>10.50881623495915</v>
      </c>
      <c r="AK59" s="14"/>
      <c r="AL59" s="7">
        <f t="shared" si="2"/>
        <v>19</v>
      </c>
      <c r="AM59" s="14">
        <f t="shared" si="0"/>
        <v>2.713481212810018</v>
      </c>
      <c r="AN59" s="7">
        <f t="shared" si="21"/>
        <v>8.1</v>
      </c>
      <c r="AP59" s="14"/>
      <c r="AQ59" s="14"/>
      <c r="AR59" s="14">
        <f t="shared" si="10"/>
        <v>0</v>
      </c>
      <c r="AS59" s="14">
        <f t="shared" si="24"/>
        <v>10.0062</v>
      </c>
      <c r="AT59" s="8">
        <f t="shared" si="11"/>
        <v>10.0062</v>
      </c>
      <c r="AU59" s="26">
        <f t="shared" si="6"/>
        <v>0</v>
      </c>
      <c r="AV59" s="13">
        <f t="shared" si="12"/>
        <v>0.07</v>
      </c>
      <c r="AW59" s="26">
        <f t="shared" si="26"/>
        <v>0</v>
      </c>
      <c r="AX59" s="26">
        <f t="shared" si="27"/>
        <v>0</v>
      </c>
      <c r="AY59" s="26">
        <f t="shared" si="25"/>
        <v>0</v>
      </c>
    </row>
    <row r="60" spans="22:51" ht="15.75">
      <c r="V60" s="7">
        <v>35</v>
      </c>
      <c r="W60" s="16">
        <f t="shared" si="22"/>
        <v>0</v>
      </c>
      <c r="X60" s="13">
        <f t="shared" si="23"/>
        <v>0</v>
      </c>
      <c r="Y60" s="14">
        <f t="shared" si="8"/>
        <v>4.940510330799841</v>
      </c>
      <c r="Z60" s="14">
        <f t="shared" si="15"/>
        <v>0</v>
      </c>
      <c r="AA60" s="14">
        <f t="shared" si="16"/>
        <v>0</v>
      </c>
      <c r="AB60" s="14"/>
      <c r="AC60" s="14"/>
      <c r="AD60" s="14"/>
      <c r="AE60" s="8"/>
      <c r="AF60" s="14">
        <f t="shared" si="17"/>
        <v>0</v>
      </c>
      <c r="AG60" s="14">
        <f t="shared" si="18"/>
        <v>10</v>
      </c>
      <c r="AH60" s="25">
        <f t="shared" si="19"/>
        <v>0</v>
      </c>
      <c r="AI60" s="14">
        <f t="shared" si="20"/>
        <v>10</v>
      </c>
      <c r="AJ60" s="14">
        <f t="shared" si="9"/>
        <v>10.50881623495915</v>
      </c>
      <c r="AK60" s="14"/>
      <c r="AL60" s="7">
        <f t="shared" si="2"/>
        <v>20</v>
      </c>
      <c r="AM60" s="14">
        <f t="shared" si="0"/>
        <v>2.8562960134842292</v>
      </c>
      <c r="AN60" s="7">
        <f t="shared" si="21"/>
        <v>0</v>
      </c>
      <c r="AP60" s="14"/>
      <c r="AQ60" s="14"/>
      <c r="AR60" s="14">
        <f t="shared" si="10"/>
        <v>0</v>
      </c>
      <c r="AS60" s="14">
        <f t="shared" si="24"/>
        <v>10.0062</v>
      </c>
      <c r="AT60" s="8">
        <f t="shared" si="11"/>
        <v>10.0062</v>
      </c>
      <c r="AU60" s="26">
        <f t="shared" si="6"/>
        <v>0</v>
      </c>
      <c r="AV60" s="13">
        <f t="shared" si="12"/>
        <v>0.07</v>
      </c>
      <c r="AW60" s="26">
        <f t="shared" si="26"/>
        <v>0</v>
      </c>
      <c r="AX60" s="26">
        <f t="shared" si="27"/>
        <v>0</v>
      </c>
      <c r="AY60" s="26">
        <f t="shared" si="25"/>
        <v>0</v>
      </c>
    </row>
    <row r="61" spans="22:51" ht="15.75">
      <c r="V61" s="16">
        <v>36</v>
      </c>
      <c r="W61" s="16">
        <f t="shared" si="22"/>
        <v>0</v>
      </c>
      <c r="X61" s="13">
        <f t="shared" si="23"/>
        <v>0</v>
      </c>
      <c r="Y61" s="14">
        <f t="shared" si="8"/>
        <v>4.940510330799841</v>
      </c>
      <c r="Z61" s="14">
        <f t="shared" si="15"/>
        <v>0</v>
      </c>
      <c r="AA61" s="14">
        <f t="shared" si="16"/>
        <v>0</v>
      </c>
      <c r="AB61" s="14"/>
      <c r="AC61" s="14"/>
      <c r="AD61" s="14"/>
      <c r="AE61" s="8"/>
      <c r="AF61" s="14">
        <f t="shared" si="17"/>
        <v>0</v>
      </c>
      <c r="AG61" s="14">
        <f t="shared" si="18"/>
        <v>10</v>
      </c>
      <c r="AH61" s="25">
        <f t="shared" si="19"/>
        <v>0</v>
      </c>
      <c r="AI61" s="14">
        <f t="shared" si="20"/>
        <v>10</v>
      </c>
      <c r="AJ61" s="14">
        <f t="shared" si="9"/>
        <v>10.50881623495915</v>
      </c>
      <c r="AK61" s="14"/>
      <c r="AL61" s="7">
        <f t="shared" si="2"/>
        <v>20</v>
      </c>
      <c r="AM61" s="14">
        <f t="shared" si="0"/>
        <v>2.8562960134842292</v>
      </c>
      <c r="AN61" s="7">
        <f t="shared" si="21"/>
        <v>8</v>
      </c>
      <c r="AP61" s="14"/>
      <c r="AQ61" s="14"/>
      <c r="AR61" s="14">
        <f t="shared" si="10"/>
        <v>0</v>
      </c>
      <c r="AS61" s="14">
        <f t="shared" si="24"/>
        <v>10.0062</v>
      </c>
      <c r="AT61" s="8">
        <f t="shared" si="11"/>
        <v>10.0062</v>
      </c>
      <c r="AU61" s="26">
        <f t="shared" si="6"/>
        <v>0</v>
      </c>
      <c r="AV61" s="13">
        <f t="shared" si="12"/>
        <v>0.07</v>
      </c>
      <c r="AW61" s="26">
        <f t="shared" si="26"/>
        <v>0</v>
      </c>
      <c r="AX61" s="26">
        <f t="shared" si="27"/>
        <v>0</v>
      </c>
      <c r="AY61" s="26">
        <f t="shared" si="25"/>
        <v>0</v>
      </c>
    </row>
    <row r="62" spans="22:51" ht="15.75">
      <c r="V62" s="16">
        <v>37</v>
      </c>
      <c r="W62" s="16">
        <f t="shared" si="22"/>
        <v>0</v>
      </c>
      <c r="X62" s="13">
        <f t="shared" si="23"/>
        <v>0</v>
      </c>
      <c r="Y62" s="14">
        <f t="shared" si="8"/>
        <v>4.940510330799841</v>
      </c>
      <c r="Z62" s="14">
        <f t="shared" si="15"/>
        <v>0</v>
      </c>
      <c r="AA62" s="14">
        <f t="shared" si="16"/>
        <v>0</v>
      </c>
      <c r="AB62" s="14"/>
      <c r="AC62" s="14"/>
      <c r="AD62" s="14"/>
      <c r="AE62" s="8"/>
      <c r="AF62" s="14">
        <f t="shared" si="17"/>
        <v>0</v>
      </c>
      <c r="AG62" s="14">
        <f t="shared" si="18"/>
        <v>10</v>
      </c>
      <c r="AH62" s="25">
        <f t="shared" si="19"/>
        <v>0</v>
      </c>
      <c r="AI62" s="14">
        <f t="shared" si="20"/>
        <v>10</v>
      </c>
      <c r="AJ62" s="14">
        <f t="shared" si="9"/>
        <v>10.50881623495915</v>
      </c>
      <c r="AK62" s="14"/>
      <c r="AL62" s="7">
        <f t="shared" si="2"/>
        <v>21</v>
      </c>
      <c r="AM62" s="14">
        <f t="shared" si="0"/>
        <v>2.9991108141584406</v>
      </c>
      <c r="AN62" s="7">
        <f t="shared" si="21"/>
        <v>0</v>
      </c>
      <c r="AP62" s="14"/>
      <c r="AQ62" s="14"/>
      <c r="AR62" s="14">
        <f t="shared" si="10"/>
        <v>0</v>
      </c>
      <c r="AS62" s="14">
        <f t="shared" si="24"/>
        <v>10.0062</v>
      </c>
      <c r="AT62" s="8">
        <f t="shared" si="11"/>
        <v>10.0062</v>
      </c>
      <c r="AU62" s="26">
        <f t="shared" si="6"/>
        <v>0</v>
      </c>
      <c r="AV62" s="13">
        <f t="shared" si="12"/>
        <v>0.07</v>
      </c>
      <c r="AW62" s="26">
        <f t="shared" si="26"/>
        <v>0</v>
      </c>
      <c r="AX62" s="26">
        <f t="shared" si="27"/>
        <v>0</v>
      </c>
      <c r="AY62" s="26">
        <f t="shared" si="25"/>
        <v>0</v>
      </c>
    </row>
    <row r="63" spans="22:51" ht="15.75">
      <c r="V63" s="7">
        <v>38</v>
      </c>
      <c r="W63" s="16">
        <f t="shared" si="22"/>
        <v>0</v>
      </c>
      <c r="X63" s="13">
        <f t="shared" si="23"/>
        <v>0</v>
      </c>
      <c r="Y63" s="14">
        <f t="shared" si="8"/>
        <v>4.940510330799841</v>
      </c>
      <c r="Z63" s="14">
        <f t="shared" si="15"/>
        <v>0</v>
      </c>
      <c r="AA63" s="14">
        <f t="shared" si="16"/>
        <v>0</v>
      </c>
      <c r="AB63" s="14"/>
      <c r="AC63" s="14"/>
      <c r="AD63" s="14"/>
      <c r="AE63" s="8"/>
      <c r="AF63" s="14">
        <f t="shared" si="17"/>
        <v>0</v>
      </c>
      <c r="AG63" s="14">
        <f t="shared" si="18"/>
        <v>10</v>
      </c>
      <c r="AH63" s="25">
        <f t="shared" si="19"/>
        <v>0</v>
      </c>
      <c r="AI63" s="14">
        <f t="shared" si="20"/>
        <v>10</v>
      </c>
      <c r="AJ63" s="14">
        <f t="shared" si="9"/>
        <v>10.50881623495915</v>
      </c>
      <c r="AK63" s="14"/>
      <c r="AL63" s="7">
        <f t="shared" si="2"/>
        <v>21</v>
      </c>
      <c r="AM63" s="14">
        <f t="shared" si="0"/>
        <v>2.9991108141584406</v>
      </c>
      <c r="AN63" s="7">
        <f t="shared" si="21"/>
        <v>7.9</v>
      </c>
      <c r="AP63" s="14"/>
      <c r="AQ63" s="14"/>
      <c r="AR63" s="14">
        <f t="shared" si="10"/>
        <v>0</v>
      </c>
      <c r="AS63" s="14">
        <f t="shared" si="24"/>
        <v>10.0062</v>
      </c>
      <c r="AT63" s="8">
        <f t="shared" si="11"/>
        <v>10.0062</v>
      </c>
      <c r="AU63" s="26">
        <f t="shared" si="6"/>
        <v>0</v>
      </c>
      <c r="AV63" s="13">
        <f t="shared" si="12"/>
        <v>0.07</v>
      </c>
      <c r="AW63" s="26">
        <f t="shared" si="26"/>
        <v>0</v>
      </c>
      <c r="AX63" s="26">
        <f t="shared" si="27"/>
        <v>0</v>
      </c>
      <c r="AY63" s="26">
        <f t="shared" si="25"/>
        <v>0</v>
      </c>
    </row>
    <row r="64" spans="22:51" ht="15.75">
      <c r="V64" s="16">
        <v>39</v>
      </c>
      <c r="W64" s="16">
        <f t="shared" si="22"/>
        <v>0</v>
      </c>
      <c r="X64" s="13">
        <f t="shared" si="23"/>
        <v>0</v>
      </c>
      <c r="Y64" s="14">
        <f t="shared" si="8"/>
        <v>4.940510330799841</v>
      </c>
      <c r="Z64" s="14">
        <f t="shared" si="15"/>
        <v>0</v>
      </c>
      <c r="AA64" s="14">
        <f t="shared" si="16"/>
        <v>0</v>
      </c>
      <c r="AB64" s="14"/>
      <c r="AC64" s="14"/>
      <c r="AD64" s="14"/>
      <c r="AE64" s="8"/>
      <c r="AF64" s="14">
        <f t="shared" si="17"/>
        <v>0</v>
      </c>
      <c r="AG64" s="14">
        <f t="shared" si="18"/>
        <v>10</v>
      </c>
      <c r="AH64" s="25">
        <f t="shared" si="19"/>
        <v>0</v>
      </c>
      <c r="AI64" s="14">
        <f t="shared" si="20"/>
        <v>10</v>
      </c>
      <c r="AJ64" s="14">
        <f t="shared" si="9"/>
        <v>10.50881623495915</v>
      </c>
      <c r="AK64" s="14"/>
      <c r="AL64" s="7">
        <f t="shared" si="2"/>
        <v>22</v>
      </c>
      <c r="AM64" s="14">
        <f t="shared" si="0"/>
        <v>3.141925614832652</v>
      </c>
      <c r="AN64" s="7">
        <f t="shared" si="21"/>
        <v>0</v>
      </c>
      <c r="AP64" s="14"/>
      <c r="AQ64" s="14"/>
      <c r="AR64" s="14">
        <f t="shared" si="10"/>
        <v>0</v>
      </c>
      <c r="AS64" s="14">
        <f t="shared" si="24"/>
        <v>10.0062</v>
      </c>
      <c r="AT64" s="8">
        <f t="shared" si="11"/>
        <v>10.0062</v>
      </c>
      <c r="AU64" s="26">
        <f t="shared" si="6"/>
        <v>0</v>
      </c>
      <c r="AV64" s="13">
        <f t="shared" si="12"/>
        <v>0.07</v>
      </c>
      <c r="AW64" s="26">
        <f t="shared" si="26"/>
        <v>0</v>
      </c>
      <c r="AX64" s="26">
        <f t="shared" si="27"/>
        <v>0</v>
      </c>
      <c r="AY64" s="26">
        <f t="shared" si="25"/>
        <v>0</v>
      </c>
    </row>
    <row r="65" spans="22:51" ht="15.75">
      <c r="V65" s="16">
        <v>40</v>
      </c>
      <c r="W65" s="16">
        <f t="shared" si="22"/>
        <v>0</v>
      </c>
      <c r="X65" s="13">
        <f t="shared" si="23"/>
        <v>0</v>
      </c>
      <c r="Y65" s="14">
        <f t="shared" si="8"/>
        <v>4.940510330799841</v>
      </c>
      <c r="Z65" s="14">
        <f t="shared" si="15"/>
        <v>0</v>
      </c>
      <c r="AA65" s="14">
        <f t="shared" si="16"/>
        <v>0</v>
      </c>
      <c r="AB65" s="14"/>
      <c r="AC65" s="14"/>
      <c r="AD65" s="14"/>
      <c r="AE65" s="8"/>
      <c r="AF65" s="14">
        <f t="shared" si="17"/>
        <v>0</v>
      </c>
      <c r="AG65" s="14">
        <f t="shared" si="18"/>
        <v>10</v>
      </c>
      <c r="AH65" s="25">
        <f t="shared" si="19"/>
        <v>0</v>
      </c>
      <c r="AI65" s="14">
        <f t="shared" si="20"/>
        <v>10</v>
      </c>
      <c r="AJ65" s="14">
        <f t="shared" si="9"/>
        <v>10.50881623495915</v>
      </c>
      <c r="AK65" s="14"/>
      <c r="AL65" s="7">
        <f t="shared" si="2"/>
        <v>22</v>
      </c>
      <c r="AM65" s="14">
        <f t="shared" si="0"/>
        <v>3.141925614832652</v>
      </c>
      <c r="AN65" s="7">
        <f t="shared" si="21"/>
        <v>7.800000000000001</v>
      </c>
      <c r="AP65" s="14"/>
      <c r="AQ65" s="14"/>
      <c r="AR65" s="14">
        <f t="shared" si="10"/>
        <v>0</v>
      </c>
      <c r="AS65" s="14">
        <f t="shared" si="24"/>
        <v>10.0062</v>
      </c>
      <c r="AT65" s="8">
        <f t="shared" si="11"/>
        <v>10.0062</v>
      </c>
      <c r="AU65" s="26">
        <f t="shared" si="6"/>
        <v>0</v>
      </c>
      <c r="AV65" s="13">
        <f t="shared" si="12"/>
        <v>0.07</v>
      </c>
      <c r="AW65" s="26">
        <f t="shared" si="26"/>
        <v>0</v>
      </c>
      <c r="AX65" s="26">
        <f t="shared" si="27"/>
        <v>0</v>
      </c>
      <c r="AY65" s="26">
        <f t="shared" si="25"/>
        <v>0</v>
      </c>
    </row>
    <row r="66" spans="22:51" ht="15.75">
      <c r="V66" s="16">
        <v>41</v>
      </c>
      <c r="W66" s="16">
        <f t="shared" si="22"/>
        <v>0</v>
      </c>
      <c r="X66" s="13">
        <f t="shared" si="23"/>
        <v>0</v>
      </c>
      <c r="Y66" s="14">
        <f t="shared" si="8"/>
        <v>4.940510330799841</v>
      </c>
      <c r="Z66" s="14">
        <f t="shared" si="15"/>
        <v>0</v>
      </c>
      <c r="AA66" s="14">
        <f t="shared" si="16"/>
        <v>0</v>
      </c>
      <c r="AB66" s="14"/>
      <c r="AC66" s="14"/>
      <c r="AD66" s="14"/>
      <c r="AE66" s="8"/>
      <c r="AF66" s="14">
        <f t="shared" si="17"/>
        <v>0</v>
      </c>
      <c r="AG66" s="14">
        <f t="shared" si="18"/>
        <v>10</v>
      </c>
      <c r="AH66" s="25">
        <f t="shared" si="19"/>
        <v>0</v>
      </c>
      <c r="AI66" s="14">
        <f t="shared" si="20"/>
        <v>10</v>
      </c>
      <c r="AJ66" s="14">
        <f t="shared" si="9"/>
        <v>10.50881623495915</v>
      </c>
      <c r="AK66" s="14"/>
      <c r="AL66" s="7">
        <f t="shared" si="2"/>
        <v>23</v>
      </c>
      <c r="AM66" s="14">
        <f t="shared" si="0"/>
        <v>3.2847404155068634</v>
      </c>
      <c r="AN66" s="7">
        <f t="shared" si="21"/>
        <v>0</v>
      </c>
      <c r="AP66" s="14"/>
      <c r="AQ66" s="14"/>
      <c r="AR66" s="14">
        <f t="shared" si="10"/>
        <v>0</v>
      </c>
      <c r="AS66" s="14">
        <f t="shared" si="24"/>
        <v>10.0062</v>
      </c>
      <c r="AT66" s="8">
        <f t="shared" si="11"/>
        <v>10.0062</v>
      </c>
      <c r="AU66" s="26">
        <f t="shared" si="6"/>
        <v>0</v>
      </c>
      <c r="AV66" s="13">
        <f t="shared" si="12"/>
        <v>0.07</v>
      </c>
      <c r="AW66" s="26">
        <f t="shared" si="26"/>
        <v>0</v>
      </c>
      <c r="AX66" s="26">
        <f t="shared" si="27"/>
        <v>0</v>
      </c>
      <c r="AY66" s="26">
        <f t="shared" si="25"/>
        <v>0</v>
      </c>
    </row>
    <row r="67" spans="22:51" ht="15.75">
      <c r="V67" s="16">
        <v>42</v>
      </c>
      <c r="W67" s="16">
        <f t="shared" si="22"/>
        <v>0</v>
      </c>
      <c r="X67" s="13">
        <f t="shared" si="23"/>
        <v>0</v>
      </c>
      <c r="Y67" s="14">
        <f t="shared" si="8"/>
        <v>4.940510330799841</v>
      </c>
      <c r="Z67" s="14">
        <f t="shared" si="15"/>
        <v>0</v>
      </c>
      <c r="AA67" s="14">
        <f t="shared" si="16"/>
        <v>0</v>
      </c>
      <c r="AB67" s="14"/>
      <c r="AC67" s="14"/>
      <c r="AD67" s="14"/>
      <c r="AE67" s="8"/>
      <c r="AF67" s="14">
        <f t="shared" si="17"/>
        <v>0</v>
      </c>
      <c r="AG67" s="14">
        <f t="shared" si="18"/>
        <v>10</v>
      </c>
      <c r="AH67" s="25">
        <f t="shared" si="19"/>
        <v>0</v>
      </c>
      <c r="AI67" s="14">
        <f t="shared" si="20"/>
        <v>10</v>
      </c>
      <c r="AJ67" s="14">
        <f t="shared" si="9"/>
        <v>10.50881623495915</v>
      </c>
      <c r="AK67" s="14"/>
      <c r="AL67" s="7">
        <f t="shared" si="2"/>
        <v>23</v>
      </c>
      <c r="AM67" s="14">
        <f t="shared" si="0"/>
        <v>3.2847404155068634</v>
      </c>
      <c r="AN67" s="7">
        <f t="shared" si="21"/>
        <v>7.7</v>
      </c>
      <c r="AP67" s="14"/>
      <c r="AQ67" s="14"/>
      <c r="AR67" s="14">
        <f t="shared" si="10"/>
        <v>0</v>
      </c>
      <c r="AS67" s="14">
        <f t="shared" si="24"/>
        <v>10.0062</v>
      </c>
      <c r="AT67" s="8">
        <f t="shared" si="11"/>
        <v>10.0062</v>
      </c>
      <c r="AU67" s="26">
        <f t="shared" si="6"/>
        <v>0</v>
      </c>
      <c r="AV67" s="13">
        <f t="shared" si="12"/>
        <v>0.07</v>
      </c>
      <c r="AW67" s="26">
        <f t="shared" si="26"/>
        <v>0</v>
      </c>
      <c r="AX67" s="26">
        <f t="shared" si="27"/>
        <v>0</v>
      </c>
      <c r="AY67" s="26">
        <f t="shared" si="25"/>
        <v>0</v>
      </c>
    </row>
    <row r="68" spans="22:51" ht="15.75">
      <c r="V68" s="7">
        <v>43</v>
      </c>
      <c r="W68" s="16">
        <f t="shared" si="22"/>
        <v>0</v>
      </c>
      <c r="X68" s="13">
        <f t="shared" si="23"/>
        <v>0</v>
      </c>
      <c r="Y68" s="14">
        <f t="shared" si="8"/>
        <v>4.940510330799841</v>
      </c>
      <c r="Z68" s="14">
        <f t="shared" si="15"/>
        <v>0</v>
      </c>
      <c r="AA68" s="14">
        <f t="shared" si="16"/>
        <v>0</v>
      </c>
      <c r="AB68" s="14"/>
      <c r="AC68" s="14"/>
      <c r="AD68" s="14"/>
      <c r="AE68" s="8"/>
      <c r="AF68" s="14">
        <f t="shared" si="17"/>
        <v>0</v>
      </c>
      <c r="AG68" s="14">
        <f t="shared" si="18"/>
        <v>10</v>
      </c>
      <c r="AH68" s="25">
        <f t="shared" si="19"/>
        <v>0</v>
      </c>
      <c r="AI68" s="14">
        <f t="shared" si="20"/>
        <v>10</v>
      </c>
      <c r="AJ68" s="14">
        <f t="shared" si="9"/>
        <v>10.50881623495915</v>
      </c>
      <c r="AK68" s="14"/>
      <c r="AL68" s="7">
        <f t="shared" si="2"/>
        <v>24</v>
      </c>
      <c r="AM68" s="14">
        <f t="shared" si="0"/>
        <v>3.4275552161810747</v>
      </c>
      <c r="AN68" s="7">
        <f t="shared" si="21"/>
        <v>0</v>
      </c>
      <c r="AP68" s="14"/>
      <c r="AQ68" s="14"/>
      <c r="AR68" s="14">
        <f t="shared" si="10"/>
        <v>0</v>
      </c>
      <c r="AS68" s="14">
        <f t="shared" si="24"/>
        <v>10.0062</v>
      </c>
      <c r="AT68" s="8">
        <f t="shared" si="11"/>
        <v>10.0062</v>
      </c>
      <c r="AU68" s="26">
        <f t="shared" si="6"/>
        <v>0</v>
      </c>
      <c r="AV68" s="13">
        <f t="shared" si="12"/>
        <v>0.07</v>
      </c>
      <c r="AW68" s="26">
        <f t="shared" si="26"/>
        <v>0</v>
      </c>
      <c r="AX68" s="26">
        <f t="shared" si="27"/>
        <v>0</v>
      </c>
      <c r="AY68" s="26">
        <f t="shared" si="25"/>
        <v>0</v>
      </c>
    </row>
    <row r="69" spans="22:51" ht="15.75">
      <c r="V69" s="16">
        <v>44</v>
      </c>
      <c r="W69" s="16">
        <f t="shared" si="22"/>
        <v>0</v>
      </c>
      <c r="X69" s="13">
        <f t="shared" si="23"/>
        <v>0</v>
      </c>
      <c r="Y69" s="14">
        <f t="shared" si="8"/>
        <v>4.940510330799841</v>
      </c>
      <c r="Z69" s="14">
        <f t="shared" si="15"/>
        <v>0</v>
      </c>
      <c r="AA69" s="14">
        <f t="shared" si="16"/>
        <v>0</v>
      </c>
      <c r="AB69" s="14"/>
      <c r="AC69" s="14"/>
      <c r="AD69" s="14"/>
      <c r="AE69" s="8"/>
      <c r="AF69" s="14">
        <f t="shared" si="17"/>
        <v>0</v>
      </c>
      <c r="AG69" s="14">
        <f t="shared" si="18"/>
        <v>10</v>
      </c>
      <c r="AH69" s="25">
        <f t="shared" si="19"/>
        <v>0</v>
      </c>
      <c r="AI69" s="14">
        <f t="shared" si="20"/>
        <v>10</v>
      </c>
      <c r="AJ69" s="14">
        <f t="shared" si="9"/>
        <v>10.50881623495915</v>
      </c>
      <c r="AK69" s="14"/>
      <c r="AL69" s="7">
        <f t="shared" si="2"/>
        <v>24</v>
      </c>
      <c r="AM69" s="14">
        <f t="shared" si="0"/>
        <v>3.4275552161810747</v>
      </c>
      <c r="AN69" s="7">
        <f t="shared" si="21"/>
        <v>7.6</v>
      </c>
      <c r="AP69" s="14"/>
      <c r="AQ69" s="14"/>
      <c r="AR69" s="14">
        <f t="shared" si="10"/>
        <v>0</v>
      </c>
      <c r="AS69" s="14">
        <f t="shared" si="24"/>
        <v>10.0062</v>
      </c>
      <c r="AT69" s="8">
        <f t="shared" si="11"/>
        <v>10.0062</v>
      </c>
      <c r="AU69" s="26">
        <f t="shared" si="6"/>
        <v>0</v>
      </c>
      <c r="AV69" s="13">
        <f t="shared" si="12"/>
        <v>0.07</v>
      </c>
      <c r="AW69" s="26">
        <f t="shared" si="26"/>
        <v>0</v>
      </c>
      <c r="AX69" s="26">
        <f t="shared" si="27"/>
        <v>0</v>
      </c>
      <c r="AY69" s="26">
        <f t="shared" si="25"/>
        <v>0</v>
      </c>
    </row>
    <row r="70" spans="22:51" ht="15.75">
      <c r="V70" s="16">
        <v>45</v>
      </c>
      <c r="W70" s="16">
        <f t="shared" si="22"/>
        <v>0</v>
      </c>
      <c r="X70" s="13">
        <f t="shared" si="23"/>
        <v>0</v>
      </c>
      <c r="Y70" s="14">
        <f t="shared" si="8"/>
        <v>4.940510330799841</v>
      </c>
      <c r="Z70" s="14">
        <f t="shared" si="15"/>
        <v>0</v>
      </c>
      <c r="AA70" s="14">
        <f t="shared" si="16"/>
        <v>0</v>
      </c>
      <c r="AB70" s="14"/>
      <c r="AC70" s="14"/>
      <c r="AD70" s="14"/>
      <c r="AE70" s="8"/>
      <c r="AF70" s="14">
        <f t="shared" si="17"/>
        <v>0</v>
      </c>
      <c r="AG70" s="14">
        <f t="shared" si="18"/>
        <v>10</v>
      </c>
      <c r="AH70" s="25">
        <f t="shared" si="19"/>
        <v>0</v>
      </c>
      <c r="AI70" s="14">
        <f t="shared" si="20"/>
        <v>10</v>
      </c>
      <c r="AJ70" s="14">
        <f t="shared" si="9"/>
        <v>10.50881623495915</v>
      </c>
      <c r="AK70" s="14"/>
      <c r="AL70" s="7">
        <f t="shared" si="2"/>
        <v>25</v>
      </c>
      <c r="AM70" s="14">
        <f t="shared" si="0"/>
        <v>3.5703700168552865</v>
      </c>
      <c r="AN70" s="7">
        <f t="shared" si="21"/>
        <v>0</v>
      </c>
      <c r="AP70" s="14"/>
      <c r="AQ70" s="14"/>
      <c r="AR70" s="14">
        <f t="shared" si="10"/>
        <v>0</v>
      </c>
      <c r="AS70" s="14">
        <f t="shared" si="24"/>
        <v>10.0062</v>
      </c>
      <c r="AT70" s="8">
        <f t="shared" si="11"/>
        <v>10.0062</v>
      </c>
      <c r="AU70" s="26">
        <f t="shared" si="6"/>
        <v>0</v>
      </c>
      <c r="AV70" s="13">
        <f t="shared" si="12"/>
        <v>0.07</v>
      </c>
      <c r="AW70" s="26">
        <f t="shared" si="26"/>
        <v>0</v>
      </c>
      <c r="AX70" s="26">
        <f t="shared" si="27"/>
        <v>0</v>
      </c>
      <c r="AY70" s="26">
        <f t="shared" si="25"/>
        <v>0</v>
      </c>
    </row>
    <row r="71" spans="22:51" ht="15.75">
      <c r="V71" s="16">
        <v>46</v>
      </c>
      <c r="W71" s="16">
        <f t="shared" si="22"/>
        <v>0</v>
      </c>
      <c r="X71" s="13">
        <f t="shared" si="23"/>
        <v>0</v>
      </c>
      <c r="Y71" s="14">
        <f t="shared" si="8"/>
        <v>4.940510330799841</v>
      </c>
      <c r="Z71" s="14">
        <f t="shared" si="15"/>
        <v>0</v>
      </c>
      <c r="AA71" s="14">
        <f t="shared" si="16"/>
        <v>0</v>
      </c>
      <c r="AB71" s="14"/>
      <c r="AC71" s="14"/>
      <c r="AD71" s="14"/>
      <c r="AE71" s="8"/>
      <c r="AF71" s="14">
        <f t="shared" si="17"/>
        <v>0</v>
      </c>
      <c r="AG71" s="14">
        <f t="shared" si="18"/>
        <v>10</v>
      </c>
      <c r="AH71" s="25">
        <f t="shared" si="19"/>
        <v>0</v>
      </c>
      <c r="AI71" s="14">
        <f t="shared" si="20"/>
        <v>10</v>
      </c>
      <c r="AJ71" s="14">
        <f t="shared" si="9"/>
        <v>10.50881623495915</v>
      </c>
      <c r="AK71" s="14"/>
      <c r="AL71" s="7">
        <f t="shared" si="2"/>
        <v>25</v>
      </c>
      <c r="AM71" s="14">
        <f t="shared" si="0"/>
        <v>3.5703700168552865</v>
      </c>
      <c r="AN71" s="7">
        <f t="shared" si="21"/>
        <v>7.5</v>
      </c>
      <c r="AP71" s="14"/>
      <c r="AQ71" s="14"/>
      <c r="AR71" s="14">
        <f t="shared" si="10"/>
        <v>0</v>
      </c>
      <c r="AS71" s="14">
        <f t="shared" si="24"/>
        <v>10.0062</v>
      </c>
      <c r="AT71" s="8">
        <f t="shared" si="11"/>
        <v>10.0062</v>
      </c>
      <c r="AU71" s="26">
        <f t="shared" si="6"/>
        <v>0</v>
      </c>
      <c r="AV71" s="13">
        <f t="shared" si="12"/>
        <v>0.07</v>
      </c>
      <c r="AW71" s="26">
        <f t="shared" si="26"/>
        <v>0</v>
      </c>
      <c r="AX71" s="26">
        <f t="shared" si="27"/>
        <v>0</v>
      </c>
      <c r="AY71" s="26">
        <f t="shared" si="25"/>
        <v>0</v>
      </c>
    </row>
    <row r="72" spans="22:51" ht="15.75">
      <c r="V72" s="16">
        <v>47</v>
      </c>
      <c r="W72" s="16">
        <f t="shared" si="22"/>
        <v>0</v>
      </c>
      <c r="X72" s="13">
        <f t="shared" si="23"/>
        <v>0</v>
      </c>
      <c r="Y72" s="14">
        <f t="shared" si="8"/>
        <v>4.940510330799841</v>
      </c>
      <c r="Z72" s="14">
        <f t="shared" si="15"/>
        <v>0</v>
      </c>
      <c r="AA72" s="14">
        <f t="shared" si="16"/>
        <v>0</v>
      </c>
      <c r="AB72" s="14"/>
      <c r="AC72" s="14"/>
      <c r="AD72" s="14"/>
      <c r="AE72" s="8"/>
      <c r="AF72" s="14">
        <f t="shared" si="17"/>
        <v>0</v>
      </c>
      <c r="AG72" s="14">
        <f t="shared" si="18"/>
        <v>10</v>
      </c>
      <c r="AH72" s="25">
        <f t="shared" si="19"/>
        <v>0</v>
      </c>
      <c r="AI72" s="14">
        <f t="shared" si="20"/>
        <v>10</v>
      </c>
      <c r="AJ72" s="14">
        <f t="shared" si="9"/>
        <v>10.50881623495915</v>
      </c>
      <c r="AK72" s="14"/>
      <c r="AL72" s="7">
        <f t="shared" si="2"/>
        <v>26</v>
      </c>
      <c r="AM72" s="14">
        <f t="shared" si="0"/>
        <v>3.713184817529498</v>
      </c>
      <c r="AN72" s="7">
        <f t="shared" si="21"/>
        <v>0</v>
      </c>
      <c r="AP72" s="14"/>
      <c r="AQ72" s="14"/>
      <c r="AR72" s="14">
        <f t="shared" si="10"/>
        <v>0</v>
      </c>
      <c r="AS72" s="14">
        <f t="shared" si="24"/>
        <v>10.0062</v>
      </c>
      <c r="AT72" s="8">
        <f t="shared" si="11"/>
        <v>10.0062</v>
      </c>
      <c r="AU72" s="26">
        <f t="shared" si="6"/>
        <v>0</v>
      </c>
      <c r="AV72" s="13">
        <f t="shared" si="12"/>
        <v>0.07</v>
      </c>
      <c r="AW72" s="26">
        <f t="shared" si="26"/>
        <v>0</v>
      </c>
      <c r="AX72" s="26">
        <f t="shared" si="27"/>
        <v>0</v>
      </c>
      <c r="AY72" s="26">
        <f t="shared" si="25"/>
        <v>0</v>
      </c>
    </row>
    <row r="73" spans="22:51" ht="15.75">
      <c r="V73" s="7">
        <v>48</v>
      </c>
      <c r="W73" s="16">
        <f t="shared" si="22"/>
        <v>0</v>
      </c>
      <c r="X73" s="13">
        <f t="shared" si="23"/>
        <v>0</v>
      </c>
      <c r="Y73" s="14">
        <f t="shared" si="8"/>
        <v>4.940510330799841</v>
      </c>
      <c r="Z73" s="14">
        <f t="shared" si="15"/>
        <v>0</v>
      </c>
      <c r="AA73" s="14">
        <f t="shared" si="16"/>
        <v>0</v>
      </c>
      <c r="AB73" s="14"/>
      <c r="AC73" s="14"/>
      <c r="AD73" s="14"/>
      <c r="AE73" s="8"/>
      <c r="AF73" s="14">
        <f t="shared" si="17"/>
        <v>0</v>
      </c>
      <c r="AG73" s="14">
        <f t="shared" si="18"/>
        <v>10</v>
      </c>
      <c r="AH73" s="25">
        <f t="shared" si="19"/>
        <v>0</v>
      </c>
      <c r="AI73" s="14">
        <f t="shared" si="20"/>
        <v>10</v>
      </c>
      <c r="AJ73" s="14">
        <f t="shared" si="9"/>
        <v>10.50881623495915</v>
      </c>
      <c r="AK73" s="14"/>
      <c r="AL73" s="7">
        <f t="shared" si="2"/>
        <v>26</v>
      </c>
      <c r="AM73" s="14">
        <f t="shared" si="0"/>
        <v>3.713184817529498</v>
      </c>
      <c r="AN73" s="7">
        <f t="shared" si="21"/>
        <v>7.4</v>
      </c>
      <c r="AP73" s="14"/>
      <c r="AQ73" s="14"/>
      <c r="AR73" s="14">
        <f t="shared" si="10"/>
        <v>0</v>
      </c>
      <c r="AS73" s="14">
        <f t="shared" si="24"/>
        <v>10.0062</v>
      </c>
      <c r="AT73" s="8">
        <f t="shared" si="11"/>
        <v>10.0062</v>
      </c>
      <c r="AU73" s="26">
        <f t="shared" si="6"/>
        <v>0</v>
      </c>
      <c r="AV73" s="13">
        <f t="shared" si="12"/>
        <v>0.07</v>
      </c>
      <c r="AW73" s="26">
        <f t="shared" si="26"/>
        <v>0</v>
      </c>
      <c r="AX73" s="26">
        <f t="shared" si="27"/>
        <v>0</v>
      </c>
      <c r="AY73" s="26">
        <f t="shared" si="25"/>
        <v>0</v>
      </c>
    </row>
    <row r="74" spans="22:51" ht="15.75">
      <c r="V74" s="16">
        <v>49</v>
      </c>
      <c r="W74" s="16">
        <f t="shared" si="22"/>
        <v>0</v>
      </c>
      <c r="X74" s="13">
        <f t="shared" si="23"/>
        <v>0</v>
      </c>
      <c r="Y74" s="14">
        <f t="shared" si="8"/>
        <v>4.940510330799841</v>
      </c>
      <c r="Z74" s="14">
        <f t="shared" si="15"/>
        <v>0</v>
      </c>
      <c r="AA74" s="14">
        <f t="shared" si="16"/>
        <v>0</v>
      </c>
      <c r="AB74" s="14"/>
      <c r="AC74" s="14"/>
      <c r="AD74" s="14"/>
      <c r="AE74" s="8"/>
      <c r="AF74" s="14">
        <f t="shared" si="17"/>
        <v>0</v>
      </c>
      <c r="AG74" s="14">
        <f t="shared" si="18"/>
        <v>10</v>
      </c>
      <c r="AH74" s="25">
        <f t="shared" si="19"/>
        <v>0</v>
      </c>
      <c r="AI74" s="14">
        <f t="shared" si="20"/>
        <v>10</v>
      </c>
      <c r="AJ74" s="14">
        <f t="shared" si="9"/>
        <v>10.50881623495915</v>
      </c>
      <c r="AK74" s="14"/>
      <c r="AL74" s="7">
        <f t="shared" si="2"/>
        <v>27</v>
      </c>
      <c r="AM74" s="14">
        <f t="shared" si="0"/>
        <v>3.8559996182037093</v>
      </c>
      <c r="AN74" s="7">
        <f t="shared" si="21"/>
        <v>0</v>
      </c>
      <c r="AP74" s="14"/>
      <c r="AQ74" s="14"/>
      <c r="AR74" s="14">
        <f t="shared" si="10"/>
        <v>0</v>
      </c>
      <c r="AS74" s="14">
        <f t="shared" si="24"/>
        <v>10.0062</v>
      </c>
      <c r="AT74" s="8">
        <f t="shared" si="11"/>
        <v>10.0062</v>
      </c>
      <c r="AU74" s="26">
        <f t="shared" si="6"/>
        <v>0</v>
      </c>
      <c r="AV74" s="13">
        <f t="shared" si="12"/>
        <v>0.07</v>
      </c>
      <c r="AW74" s="26">
        <f t="shared" si="26"/>
        <v>0</v>
      </c>
      <c r="AX74" s="26">
        <f t="shared" si="27"/>
        <v>0</v>
      </c>
      <c r="AY74" s="26">
        <f t="shared" si="25"/>
        <v>0</v>
      </c>
    </row>
    <row r="75" spans="22:51" ht="15.75">
      <c r="V75" s="16">
        <v>50</v>
      </c>
      <c r="W75" s="16">
        <f t="shared" si="22"/>
        <v>0</v>
      </c>
      <c r="X75" s="13">
        <f t="shared" si="23"/>
        <v>0</v>
      </c>
      <c r="Y75" s="14">
        <f t="shared" si="8"/>
        <v>4.940510330799841</v>
      </c>
      <c r="Z75" s="14">
        <f t="shared" si="15"/>
        <v>0</v>
      </c>
      <c r="AA75" s="14">
        <f t="shared" si="16"/>
        <v>0</v>
      </c>
      <c r="AB75" s="14"/>
      <c r="AC75" s="14"/>
      <c r="AD75" s="14"/>
      <c r="AE75" s="8"/>
      <c r="AF75" s="14">
        <f t="shared" si="17"/>
        <v>0</v>
      </c>
      <c r="AG75" s="14">
        <f t="shared" si="18"/>
        <v>10</v>
      </c>
      <c r="AH75" s="25">
        <f t="shared" si="19"/>
        <v>0</v>
      </c>
      <c r="AI75" s="14">
        <f t="shared" si="20"/>
        <v>10</v>
      </c>
      <c r="AJ75" s="14">
        <f t="shared" si="9"/>
        <v>10.50881623495915</v>
      </c>
      <c r="AK75" s="14"/>
      <c r="AL75" s="7">
        <f t="shared" si="2"/>
        <v>27</v>
      </c>
      <c r="AM75" s="14">
        <f t="shared" si="0"/>
        <v>3.8559996182037093</v>
      </c>
      <c r="AN75" s="7">
        <f t="shared" si="21"/>
        <v>7.300000000000001</v>
      </c>
      <c r="AP75" s="14"/>
      <c r="AQ75" s="14"/>
      <c r="AR75" s="14">
        <f t="shared" si="10"/>
        <v>0</v>
      </c>
      <c r="AS75" s="14">
        <f t="shared" si="24"/>
        <v>10.0062</v>
      </c>
      <c r="AT75" s="8">
        <f t="shared" si="11"/>
        <v>10.0062</v>
      </c>
      <c r="AU75" s="26">
        <f t="shared" si="6"/>
        <v>0</v>
      </c>
      <c r="AV75" s="13">
        <f t="shared" si="12"/>
        <v>0.07</v>
      </c>
      <c r="AW75" s="26">
        <f t="shared" si="26"/>
        <v>0</v>
      </c>
      <c r="AX75" s="26">
        <f t="shared" si="27"/>
        <v>0</v>
      </c>
      <c r="AY75" s="26">
        <f t="shared" si="25"/>
        <v>0</v>
      </c>
    </row>
    <row r="76" spans="22:51" ht="15.75">
      <c r="V76" s="16">
        <v>51</v>
      </c>
      <c r="W76" s="16">
        <f t="shared" si="22"/>
        <v>0</v>
      </c>
      <c r="X76" s="13">
        <f t="shared" si="23"/>
        <v>0</v>
      </c>
      <c r="Y76" s="14">
        <f t="shared" si="8"/>
        <v>4.940510330799841</v>
      </c>
      <c r="Z76" s="14">
        <f t="shared" si="15"/>
        <v>0</v>
      </c>
      <c r="AA76" s="14">
        <f t="shared" si="16"/>
        <v>0</v>
      </c>
      <c r="AB76" s="14"/>
      <c r="AC76" s="14"/>
      <c r="AD76" s="14"/>
      <c r="AE76" s="8"/>
      <c r="AF76" s="14">
        <f t="shared" si="17"/>
        <v>0</v>
      </c>
      <c r="AG76" s="14">
        <f t="shared" si="18"/>
        <v>10</v>
      </c>
      <c r="AH76" s="25">
        <f t="shared" si="19"/>
        <v>0</v>
      </c>
      <c r="AI76" s="14">
        <f t="shared" si="20"/>
        <v>10</v>
      </c>
      <c r="AJ76" s="14">
        <f t="shared" si="9"/>
        <v>10.50881623495915</v>
      </c>
      <c r="AK76" s="14"/>
      <c r="AL76" s="7">
        <f t="shared" si="2"/>
        <v>28</v>
      </c>
      <c r="AM76" s="14">
        <f t="shared" si="0"/>
        <v>3.9988144188779207</v>
      </c>
      <c r="AN76" s="7">
        <f t="shared" si="21"/>
        <v>0</v>
      </c>
      <c r="AP76" s="14"/>
      <c r="AQ76" s="14"/>
      <c r="AR76" s="14">
        <f t="shared" si="10"/>
        <v>0</v>
      </c>
      <c r="AS76" s="14">
        <f t="shared" si="24"/>
        <v>10.0062</v>
      </c>
      <c r="AT76" s="8">
        <f t="shared" si="11"/>
        <v>10.0062</v>
      </c>
      <c r="AU76" s="26">
        <f t="shared" si="6"/>
        <v>0</v>
      </c>
      <c r="AV76" s="13">
        <f t="shared" si="12"/>
        <v>0.07</v>
      </c>
      <c r="AW76" s="26">
        <f t="shared" si="26"/>
        <v>0</v>
      </c>
      <c r="AX76" s="26">
        <f t="shared" si="27"/>
        <v>0</v>
      </c>
      <c r="AY76" s="26">
        <f t="shared" si="25"/>
        <v>0</v>
      </c>
    </row>
    <row r="77" spans="22:51" ht="15.75">
      <c r="V77" s="16">
        <v>52</v>
      </c>
      <c r="W77" s="16">
        <f t="shared" si="22"/>
        <v>0</v>
      </c>
      <c r="X77" s="13">
        <f t="shared" si="23"/>
        <v>0</v>
      </c>
      <c r="Y77" s="14">
        <f t="shared" si="8"/>
        <v>4.940510330799841</v>
      </c>
      <c r="Z77" s="14">
        <f t="shared" si="15"/>
        <v>0</v>
      </c>
      <c r="AA77" s="14">
        <f t="shared" si="16"/>
        <v>0</v>
      </c>
      <c r="AB77" s="14"/>
      <c r="AC77" s="14"/>
      <c r="AD77" s="14"/>
      <c r="AE77" s="8"/>
      <c r="AF77" s="14">
        <f t="shared" si="17"/>
        <v>0</v>
      </c>
      <c r="AG77" s="14">
        <f t="shared" si="18"/>
        <v>10</v>
      </c>
      <c r="AH77" s="25">
        <f t="shared" si="19"/>
        <v>0</v>
      </c>
      <c r="AI77" s="14">
        <f t="shared" si="20"/>
        <v>10</v>
      </c>
      <c r="AJ77" s="14">
        <f t="shared" si="9"/>
        <v>10.50881623495915</v>
      </c>
      <c r="AK77" s="14"/>
      <c r="AL77" s="7">
        <f t="shared" si="2"/>
        <v>28</v>
      </c>
      <c r="AM77" s="14">
        <f t="shared" si="0"/>
        <v>3.9988144188779207</v>
      </c>
      <c r="AN77" s="7">
        <f t="shared" si="21"/>
        <v>7.2</v>
      </c>
      <c r="AP77" s="14"/>
      <c r="AQ77" s="14"/>
      <c r="AR77" s="14">
        <f t="shared" si="10"/>
        <v>0</v>
      </c>
      <c r="AS77" s="14">
        <f t="shared" si="24"/>
        <v>10.0062</v>
      </c>
      <c r="AT77" s="8">
        <f t="shared" si="11"/>
        <v>10.0062</v>
      </c>
      <c r="AU77" s="26">
        <f t="shared" si="6"/>
        <v>0</v>
      </c>
      <c r="AV77" s="13">
        <f t="shared" si="12"/>
        <v>0.07</v>
      </c>
      <c r="AW77" s="26">
        <f t="shared" si="26"/>
        <v>0</v>
      </c>
      <c r="AX77" s="26">
        <f t="shared" si="27"/>
        <v>0</v>
      </c>
      <c r="AY77" s="26">
        <f t="shared" si="25"/>
        <v>0</v>
      </c>
    </row>
    <row r="78" spans="22:51" ht="15.75">
      <c r="V78" s="7">
        <v>53</v>
      </c>
      <c r="W78" s="16">
        <f t="shared" si="22"/>
        <v>0</v>
      </c>
      <c r="X78" s="13">
        <f t="shared" si="23"/>
        <v>0</v>
      </c>
      <c r="Y78" s="14">
        <f>IF(X78&lt;=$W$16,$W$14,-$C$3/$C$4)</f>
        <v>4.940510330799841</v>
      </c>
      <c r="Z78" s="14">
        <f t="shared" si="15"/>
        <v>0</v>
      </c>
      <c r="AA78" s="14">
        <f t="shared" si="16"/>
        <v>0</v>
      </c>
      <c r="AB78" s="14"/>
      <c r="AC78" s="14"/>
      <c r="AD78" s="14"/>
      <c r="AE78" s="8"/>
      <c r="AF78" s="14">
        <f t="shared" si="17"/>
        <v>0</v>
      </c>
      <c r="AG78" s="14">
        <f t="shared" si="18"/>
        <v>10</v>
      </c>
      <c r="AH78" s="25">
        <f t="shared" si="19"/>
        <v>0</v>
      </c>
      <c r="AI78" s="14">
        <f t="shared" si="20"/>
        <v>10</v>
      </c>
      <c r="AJ78" s="14">
        <f t="shared" si="9"/>
        <v>10.50881623495915</v>
      </c>
      <c r="AK78" s="14"/>
      <c r="AL78" s="7">
        <f t="shared" si="2"/>
        <v>29</v>
      </c>
      <c r="AM78" s="14">
        <f t="shared" si="0"/>
        <v>4.141629219552132</v>
      </c>
      <c r="AN78" s="7">
        <f t="shared" si="21"/>
        <v>0</v>
      </c>
      <c r="AP78" s="14"/>
      <c r="AQ78" s="14"/>
      <c r="AR78" s="14">
        <f t="shared" si="10"/>
        <v>0</v>
      </c>
      <c r="AS78" s="14">
        <f t="shared" si="24"/>
        <v>10.0062</v>
      </c>
      <c r="AT78" s="8">
        <f t="shared" si="11"/>
        <v>10.0062</v>
      </c>
      <c r="AU78" s="26">
        <f t="shared" si="6"/>
        <v>0</v>
      </c>
      <c r="AV78" s="13">
        <f t="shared" si="12"/>
        <v>0.07</v>
      </c>
      <c r="AW78" s="26">
        <f t="shared" si="26"/>
        <v>0</v>
      </c>
      <c r="AX78" s="26">
        <f t="shared" si="27"/>
        <v>0</v>
      </c>
      <c r="AY78" s="26">
        <f t="shared" si="25"/>
        <v>0</v>
      </c>
    </row>
    <row r="79" spans="22:51" ht="15.75">
      <c r="V79" s="16">
        <v>54</v>
      </c>
      <c r="W79" s="16">
        <f t="shared" si="22"/>
        <v>0</v>
      </c>
      <c r="X79" s="13">
        <f t="shared" si="23"/>
        <v>0</v>
      </c>
      <c r="Y79" s="14">
        <f t="shared" si="8"/>
        <v>4.940510330799841</v>
      </c>
      <c r="Z79" s="14">
        <f t="shared" si="15"/>
        <v>0</v>
      </c>
      <c r="AA79" s="14">
        <f t="shared" si="16"/>
        <v>0</v>
      </c>
      <c r="AB79" s="14"/>
      <c r="AC79" s="14"/>
      <c r="AD79" s="14"/>
      <c r="AE79" s="8"/>
      <c r="AF79" s="14">
        <f t="shared" si="17"/>
        <v>0</v>
      </c>
      <c r="AG79" s="14">
        <f t="shared" si="18"/>
        <v>10</v>
      </c>
      <c r="AH79" s="25">
        <f t="shared" si="19"/>
        <v>0</v>
      </c>
      <c r="AI79" s="14">
        <f t="shared" si="20"/>
        <v>10</v>
      </c>
      <c r="AJ79" s="14">
        <f t="shared" si="9"/>
        <v>10.50881623495915</v>
      </c>
      <c r="AK79" s="14"/>
      <c r="AL79" s="7">
        <f t="shared" si="2"/>
        <v>29</v>
      </c>
      <c r="AM79" s="14">
        <f t="shared" si="0"/>
        <v>4.141629219552132</v>
      </c>
      <c r="AN79" s="7">
        <f aca="true" t="shared" si="28" ref="AN79:AN142">IF(AL79&lt;AL80,$AM$9-TAN($AM$11)*AM79,0)</f>
        <v>7.1</v>
      </c>
      <c r="AP79" s="14"/>
      <c r="AQ79" s="14"/>
      <c r="AR79" s="14">
        <f t="shared" si="10"/>
        <v>0</v>
      </c>
      <c r="AS79" s="14">
        <f t="shared" si="24"/>
        <v>10.0062</v>
      </c>
      <c r="AT79" s="8">
        <f t="shared" si="11"/>
        <v>10.0062</v>
      </c>
      <c r="AU79" s="26">
        <f t="shared" si="6"/>
        <v>0</v>
      </c>
      <c r="AV79" s="13">
        <f t="shared" si="12"/>
        <v>0.07</v>
      </c>
      <c r="AW79" s="26">
        <f t="shared" si="26"/>
        <v>0</v>
      </c>
      <c r="AX79" s="26">
        <f t="shared" si="27"/>
        <v>0</v>
      </c>
      <c r="AY79" s="26">
        <f t="shared" si="25"/>
        <v>0</v>
      </c>
    </row>
    <row r="80" spans="22:51" ht="15.75">
      <c r="V80" s="16">
        <v>55</v>
      </c>
      <c r="W80" s="16">
        <f t="shared" si="22"/>
        <v>0</v>
      </c>
      <c r="X80" s="13">
        <f t="shared" si="23"/>
        <v>0</v>
      </c>
      <c r="Y80" s="14">
        <f t="shared" si="8"/>
        <v>4.940510330799841</v>
      </c>
      <c r="Z80" s="14">
        <f t="shared" si="15"/>
        <v>0</v>
      </c>
      <c r="AA80" s="14">
        <f t="shared" si="16"/>
        <v>0</v>
      </c>
      <c r="AB80" s="14"/>
      <c r="AC80" s="14"/>
      <c r="AD80" s="14"/>
      <c r="AE80" s="8"/>
      <c r="AF80" s="14">
        <f t="shared" si="17"/>
        <v>0</v>
      </c>
      <c r="AG80" s="14">
        <f t="shared" si="18"/>
        <v>10</v>
      </c>
      <c r="AH80" s="25">
        <f t="shared" si="19"/>
        <v>0</v>
      </c>
      <c r="AI80" s="14">
        <f t="shared" si="20"/>
        <v>10</v>
      </c>
      <c r="AJ80" s="14">
        <f t="shared" si="9"/>
        <v>10.50881623495915</v>
      </c>
      <c r="AK80" s="14"/>
      <c r="AL80" s="7">
        <f t="shared" si="2"/>
        <v>30</v>
      </c>
      <c r="AM80" s="14">
        <f t="shared" si="0"/>
        <v>4.284444020226344</v>
      </c>
      <c r="AN80" s="7">
        <f t="shared" si="28"/>
        <v>0</v>
      </c>
      <c r="AP80" s="14"/>
      <c r="AQ80" s="14"/>
      <c r="AR80" s="14">
        <f t="shared" si="10"/>
        <v>0</v>
      </c>
      <c r="AS80" s="14">
        <f t="shared" si="24"/>
        <v>10.0062</v>
      </c>
      <c r="AT80" s="8">
        <f t="shared" si="11"/>
        <v>10.0062</v>
      </c>
      <c r="AU80" s="26">
        <f t="shared" si="6"/>
        <v>0</v>
      </c>
      <c r="AV80" s="13">
        <f t="shared" si="12"/>
        <v>0.07</v>
      </c>
      <c r="AW80" s="26">
        <f t="shared" si="26"/>
        <v>0</v>
      </c>
      <c r="AX80" s="26">
        <f t="shared" si="27"/>
        <v>0</v>
      </c>
      <c r="AY80" s="26">
        <f t="shared" si="25"/>
        <v>0</v>
      </c>
    </row>
    <row r="81" spans="22:51" ht="15.75">
      <c r="V81" s="7">
        <v>56</v>
      </c>
      <c r="W81" s="16">
        <f t="shared" si="22"/>
        <v>0</v>
      </c>
      <c r="X81" s="13">
        <f t="shared" si="23"/>
        <v>0</v>
      </c>
      <c r="Y81" s="14">
        <f t="shared" si="8"/>
        <v>4.940510330799841</v>
      </c>
      <c r="Z81" s="14">
        <f t="shared" si="15"/>
        <v>0</v>
      </c>
      <c r="AA81" s="14">
        <f t="shared" si="16"/>
        <v>0</v>
      </c>
      <c r="AB81" s="14"/>
      <c r="AC81" s="14"/>
      <c r="AD81" s="14"/>
      <c r="AE81" s="8"/>
      <c r="AF81" s="14">
        <f t="shared" si="17"/>
        <v>0</v>
      </c>
      <c r="AG81" s="14">
        <f t="shared" si="18"/>
        <v>10</v>
      </c>
      <c r="AH81" s="25">
        <f t="shared" si="19"/>
        <v>0</v>
      </c>
      <c r="AI81" s="14">
        <f t="shared" si="20"/>
        <v>10</v>
      </c>
      <c r="AJ81" s="14">
        <f t="shared" si="9"/>
        <v>10.50881623495915</v>
      </c>
      <c r="AK81" s="14"/>
      <c r="AL81" s="7">
        <f t="shared" si="2"/>
        <v>30</v>
      </c>
      <c r="AM81" s="14">
        <f t="shared" si="0"/>
        <v>4.284444020226344</v>
      </c>
      <c r="AN81" s="7">
        <f t="shared" si="28"/>
        <v>7</v>
      </c>
      <c r="AP81" s="14"/>
      <c r="AQ81" s="14"/>
      <c r="AR81" s="14">
        <f t="shared" si="10"/>
        <v>0</v>
      </c>
      <c r="AS81" s="14">
        <f t="shared" si="24"/>
        <v>10.0062</v>
      </c>
      <c r="AT81" s="8">
        <f t="shared" si="11"/>
        <v>10.0062</v>
      </c>
      <c r="AU81" s="26">
        <f t="shared" si="6"/>
        <v>0</v>
      </c>
      <c r="AV81" s="13">
        <f t="shared" si="12"/>
        <v>0.07</v>
      </c>
      <c r="AW81" s="26">
        <f t="shared" si="26"/>
        <v>0</v>
      </c>
      <c r="AX81" s="26">
        <f t="shared" si="27"/>
        <v>0</v>
      </c>
      <c r="AY81" s="26">
        <f t="shared" si="25"/>
        <v>0</v>
      </c>
    </row>
    <row r="82" spans="22:51" ht="15.75">
      <c r="V82" s="16">
        <v>57</v>
      </c>
      <c r="W82" s="16">
        <f t="shared" si="22"/>
        <v>0</v>
      </c>
      <c r="X82" s="13">
        <f t="shared" si="23"/>
        <v>0</v>
      </c>
      <c r="Y82" s="14">
        <f t="shared" si="8"/>
        <v>4.940510330799841</v>
      </c>
      <c r="Z82" s="14">
        <f t="shared" si="15"/>
        <v>0</v>
      </c>
      <c r="AA82" s="14">
        <f t="shared" si="16"/>
        <v>0</v>
      </c>
      <c r="AB82" s="14"/>
      <c r="AC82" s="14"/>
      <c r="AD82" s="14"/>
      <c r="AE82" s="8"/>
      <c r="AF82" s="14">
        <f t="shared" si="17"/>
        <v>0</v>
      </c>
      <c r="AG82" s="14">
        <f t="shared" si="18"/>
        <v>10</v>
      </c>
      <c r="AH82" s="25">
        <f t="shared" si="19"/>
        <v>0</v>
      </c>
      <c r="AI82" s="14">
        <f t="shared" si="20"/>
        <v>10</v>
      </c>
      <c r="AJ82" s="14">
        <f t="shared" si="9"/>
        <v>10.50881623495915</v>
      </c>
      <c r="AK82" s="14"/>
      <c r="AL82" s="7">
        <f t="shared" si="2"/>
        <v>31</v>
      </c>
      <c r="AM82" s="14">
        <f t="shared" si="0"/>
        <v>4.427258820900555</v>
      </c>
      <c r="AN82" s="7">
        <f t="shared" si="28"/>
        <v>0</v>
      </c>
      <c r="AP82" s="14"/>
      <c r="AQ82" s="14"/>
      <c r="AR82" s="14">
        <f t="shared" si="10"/>
        <v>0</v>
      </c>
      <c r="AS82" s="14">
        <f t="shared" si="24"/>
        <v>10.0062</v>
      </c>
      <c r="AT82" s="8">
        <f t="shared" si="11"/>
        <v>10.0062</v>
      </c>
      <c r="AU82" s="26">
        <f t="shared" si="6"/>
        <v>0</v>
      </c>
      <c r="AV82" s="13">
        <f t="shared" si="12"/>
        <v>0.07</v>
      </c>
      <c r="AW82" s="26">
        <f t="shared" si="26"/>
        <v>0</v>
      </c>
      <c r="AX82" s="26">
        <f t="shared" si="27"/>
        <v>0</v>
      </c>
      <c r="AY82" s="26">
        <f t="shared" si="25"/>
        <v>0</v>
      </c>
    </row>
    <row r="83" spans="22:51" ht="15.75">
      <c r="V83" s="16">
        <v>58</v>
      </c>
      <c r="W83" s="16">
        <f t="shared" si="22"/>
        <v>0</v>
      </c>
      <c r="X83" s="13">
        <f t="shared" si="23"/>
        <v>0</v>
      </c>
      <c r="Y83" s="14">
        <f t="shared" si="8"/>
        <v>4.940510330799841</v>
      </c>
      <c r="Z83" s="14">
        <f t="shared" si="15"/>
        <v>0</v>
      </c>
      <c r="AA83" s="14">
        <f t="shared" si="16"/>
        <v>0</v>
      </c>
      <c r="AB83" s="14"/>
      <c r="AC83" s="14"/>
      <c r="AD83" s="14"/>
      <c r="AE83" s="8"/>
      <c r="AF83" s="14">
        <f t="shared" si="17"/>
        <v>0</v>
      </c>
      <c r="AG83" s="14">
        <f t="shared" si="18"/>
        <v>10</v>
      </c>
      <c r="AH83" s="25">
        <f t="shared" si="19"/>
        <v>0</v>
      </c>
      <c r="AI83" s="14">
        <f t="shared" si="20"/>
        <v>10</v>
      </c>
      <c r="AJ83" s="14">
        <f t="shared" si="9"/>
        <v>10.50881623495915</v>
      </c>
      <c r="AK83" s="14"/>
      <c r="AL83" s="7">
        <f t="shared" si="2"/>
        <v>31</v>
      </c>
      <c r="AM83" s="14">
        <f t="shared" si="0"/>
        <v>4.427258820900555</v>
      </c>
      <c r="AN83" s="7">
        <f t="shared" si="28"/>
        <v>6.9</v>
      </c>
      <c r="AP83" s="14"/>
      <c r="AQ83" s="14"/>
      <c r="AR83" s="14">
        <f t="shared" si="10"/>
        <v>0</v>
      </c>
      <c r="AS83" s="14">
        <f t="shared" si="24"/>
        <v>10.0062</v>
      </c>
      <c r="AT83" s="8">
        <f t="shared" si="11"/>
        <v>10.0062</v>
      </c>
      <c r="AU83" s="26">
        <f t="shared" si="6"/>
        <v>0</v>
      </c>
      <c r="AV83" s="13">
        <f t="shared" si="12"/>
        <v>0.07</v>
      </c>
      <c r="AW83" s="26">
        <f t="shared" si="26"/>
        <v>0</v>
      </c>
      <c r="AX83" s="26">
        <f t="shared" si="27"/>
        <v>0</v>
      </c>
      <c r="AY83" s="26">
        <f t="shared" si="25"/>
        <v>0</v>
      </c>
    </row>
    <row r="84" spans="22:51" ht="15.75">
      <c r="V84" s="7">
        <v>59</v>
      </c>
      <c r="W84" s="16">
        <f t="shared" si="22"/>
        <v>0</v>
      </c>
      <c r="X84" s="13">
        <f t="shared" si="23"/>
        <v>0</v>
      </c>
      <c r="Y84" s="14">
        <f t="shared" si="8"/>
        <v>4.940510330799841</v>
      </c>
      <c r="Z84" s="14">
        <f t="shared" si="15"/>
        <v>0</v>
      </c>
      <c r="AA84" s="14">
        <f t="shared" si="16"/>
        <v>0</v>
      </c>
      <c r="AB84" s="14"/>
      <c r="AC84" s="14"/>
      <c r="AD84" s="14"/>
      <c r="AE84" s="8"/>
      <c r="AF84" s="14">
        <f t="shared" si="17"/>
        <v>0</v>
      </c>
      <c r="AG84" s="14">
        <f t="shared" si="18"/>
        <v>10</v>
      </c>
      <c r="AH84" s="25">
        <f t="shared" si="19"/>
        <v>0</v>
      </c>
      <c r="AI84" s="14">
        <f t="shared" si="20"/>
        <v>10</v>
      </c>
      <c r="AJ84" s="14">
        <f t="shared" si="9"/>
        <v>10.50881623495915</v>
      </c>
      <c r="AK84" s="14"/>
      <c r="AL84" s="7">
        <f t="shared" si="2"/>
        <v>32</v>
      </c>
      <c r="AM84" s="14">
        <f t="shared" si="0"/>
        <v>4.570073621574767</v>
      </c>
      <c r="AN84" s="7">
        <f t="shared" si="28"/>
        <v>0</v>
      </c>
      <c r="AP84" s="14"/>
      <c r="AQ84" s="14"/>
      <c r="AR84" s="14">
        <f t="shared" si="10"/>
        <v>0</v>
      </c>
      <c r="AS84" s="14">
        <f t="shared" si="24"/>
        <v>10.0062</v>
      </c>
      <c r="AT84" s="8">
        <f t="shared" si="11"/>
        <v>10.0062</v>
      </c>
      <c r="AU84" s="26">
        <f t="shared" si="6"/>
        <v>0</v>
      </c>
      <c r="AV84" s="13">
        <f t="shared" si="12"/>
        <v>0.07</v>
      </c>
      <c r="AW84" s="26">
        <f t="shared" si="26"/>
        <v>0</v>
      </c>
      <c r="AX84" s="26">
        <f t="shared" si="27"/>
        <v>0</v>
      </c>
      <c r="AY84" s="26">
        <f t="shared" si="25"/>
        <v>0</v>
      </c>
    </row>
    <row r="85" spans="22:51" ht="15.75">
      <c r="V85" s="16">
        <v>60</v>
      </c>
      <c r="W85" s="16">
        <f t="shared" si="22"/>
        <v>0</v>
      </c>
      <c r="X85" s="13">
        <f t="shared" si="23"/>
        <v>0</v>
      </c>
      <c r="Y85" s="14">
        <f t="shared" si="8"/>
        <v>4.940510330799841</v>
      </c>
      <c r="Z85" s="14">
        <f t="shared" si="15"/>
        <v>0</v>
      </c>
      <c r="AA85" s="14">
        <f t="shared" si="16"/>
        <v>0</v>
      </c>
      <c r="AB85" s="14"/>
      <c r="AC85" s="14"/>
      <c r="AD85" s="14"/>
      <c r="AE85" s="8"/>
      <c r="AF85" s="14">
        <f t="shared" si="17"/>
        <v>0</v>
      </c>
      <c r="AG85" s="14">
        <f t="shared" si="18"/>
        <v>10</v>
      </c>
      <c r="AH85" s="25">
        <f t="shared" si="19"/>
        <v>0</v>
      </c>
      <c r="AI85" s="14">
        <f t="shared" si="20"/>
        <v>10</v>
      </c>
      <c r="AJ85" s="14">
        <f t="shared" si="9"/>
        <v>10.50881623495915</v>
      </c>
      <c r="AK85" s="14"/>
      <c r="AL85" s="7">
        <f t="shared" si="2"/>
        <v>32</v>
      </c>
      <c r="AM85" s="14">
        <f aca="true" t="shared" si="29" ref="AM85:AM148">AL85*$AN$18</f>
        <v>4.570073621574767</v>
      </c>
      <c r="AN85" s="7">
        <f t="shared" si="28"/>
        <v>6.800000000000001</v>
      </c>
      <c r="AP85" s="14"/>
      <c r="AQ85" s="14"/>
      <c r="AR85" s="14">
        <f t="shared" si="10"/>
        <v>0</v>
      </c>
      <c r="AS85" s="14">
        <f t="shared" si="24"/>
        <v>10.0062</v>
      </c>
      <c r="AT85" s="8">
        <f t="shared" si="11"/>
        <v>10.0062</v>
      </c>
      <c r="AU85" s="26">
        <f t="shared" si="6"/>
        <v>0</v>
      </c>
      <c r="AV85" s="13">
        <f t="shared" si="12"/>
        <v>0.07</v>
      </c>
      <c r="AW85" s="26">
        <f t="shared" si="26"/>
        <v>0</v>
      </c>
      <c r="AX85" s="26">
        <f t="shared" si="27"/>
        <v>0</v>
      </c>
      <c r="AY85" s="26">
        <f t="shared" si="25"/>
        <v>0</v>
      </c>
    </row>
    <row r="86" spans="22:51" ht="15.75">
      <c r="V86" s="16">
        <v>61</v>
      </c>
      <c r="W86" s="16">
        <f t="shared" si="22"/>
        <v>0</v>
      </c>
      <c r="X86" s="13">
        <f t="shared" si="23"/>
        <v>0</v>
      </c>
      <c r="Y86" s="14">
        <f t="shared" si="8"/>
        <v>4.940510330799841</v>
      </c>
      <c r="Z86" s="14">
        <f t="shared" si="15"/>
        <v>0</v>
      </c>
      <c r="AA86" s="14">
        <f t="shared" si="16"/>
        <v>0</v>
      </c>
      <c r="AB86" s="14"/>
      <c r="AC86" s="14"/>
      <c r="AD86" s="14"/>
      <c r="AE86" s="8"/>
      <c r="AF86" s="14">
        <f t="shared" si="17"/>
        <v>0</v>
      </c>
      <c r="AG86" s="14">
        <f t="shared" si="18"/>
        <v>10</v>
      </c>
      <c r="AH86" s="25">
        <f t="shared" si="19"/>
        <v>0</v>
      </c>
      <c r="AI86" s="14">
        <f t="shared" si="20"/>
        <v>10</v>
      </c>
      <c r="AJ86" s="14">
        <f t="shared" si="9"/>
        <v>10.50881623495915</v>
      </c>
      <c r="AK86" s="14"/>
      <c r="AL86" s="7">
        <f t="shared" si="2"/>
        <v>33</v>
      </c>
      <c r="AM86" s="14">
        <f t="shared" si="29"/>
        <v>4.712888422248978</v>
      </c>
      <c r="AN86" s="7">
        <f t="shared" si="28"/>
        <v>0</v>
      </c>
      <c r="AP86" s="14"/>
      <c r="AQ86" s="14"/>
      <c r="AR86" s="14">
        <f t="shared" si="10"/>
        <v>0</v>
      </c>
      <c r="AS86" s="14">
        <f t="shared" si="24"/>
        <v>10.0062</v>
      </c>
      <c r="AT86" s="8">
        <f t="shared" si="11"/>
        <v>10.0062</v>
      </c>
      <c r="AU86" s="26">
        <f t="shared" si="6"/>
        <v>0</v>
      </c>
      <c r="AV86" s="13">
        <f t="shared" si="12"/>
        <v>0.07</v>
      </c>
      <c r="AW86" s="26">
        <f t="shared" si="26"/>
        <v>0</v>
      </c>
      <c r="AX86" s="26">
        <f t="shared" si="27"/>
        <v>0</v>
      </c>
      <c r="AY86" s="26">
        <f t="shared" si="25"/>
        <v>0</v>
      </c>
    </row>
    <row r="87" spans="22:51" ht="15.75">
      <c r="V87" s="7">
        <v>62</v>
      </c>
      <c r="W87" s="16">
        <f t="shared" si="22"/>
        <v>0</v>
      </c>
      <c r="X87" s="13">
        <f t="shared" si="23"/>
        <v>0</v>
      </c>
      <c r="Y87" s="14">
        <f t="shared" si="8"/>
        <v>4.940510330799841</v>
      </c>
      <c r="Z87" s="14">
        <f t="shared" si="15"/>
        <v>0</v>
      </c>
      <c r="AA87" s="14">
        <f t="shared" si="16"/>
        <v>0</v>
      </c>
      <c r="AB87" s="14"/>
      <c r="AC87" s="14"/>
      <c r="AD87" s="14"/>
      <c r="AE87" s="8"/>
      <c r="AF87" s="14">
        <f t="shared" si="17"/>
        <v>0</v>
      </c>
      <c r="AG87" s="14">
        <f t="shared" si="18"/>
        <v>10</v>
      </c>
      <c r="AH87" s="25">
        <f t="shared" si="19"/>
        <v>0</v>
      </c>
      <c r="AI87" s="14">
        <f t="shared" si="20"/>
        <v>10</v>
      </c>
      <c r="AJ87" s="14">
        <f t="shared" si="9"/>
        <v>10.50881623495915</v>
      </c>
      <c r="AK87" s="14"/>
      <c r="AL87" s="7">
        <f t="shared" si="2"/>
        <v>33</v>
      </c>
      <c r="AM87" s="14">
        <f t="shared" si="29"/>
        <v>4.712888422248978</v>
      </c>
      <c r="AN87" s="7">
        <f t="shared" si="28"/>
        <v>6.699999999999999</v>
      </c>
      <c r="AP87" s="14"/>
      <c r="AQ87" s="14"/>
      <c r="AR87" s="14">
        <f t="shared" si="10"/>
        <v>0</v>
      </c>
      <c r="AS87" s="14">
        <f t="shared" si="24"/>
        <v>10.0062</v>
      </c>
      <c r="AT87" s="8">
        <f t="shared" si="11"/>
        <v>10.0062</v>
      </c>
      <c r="AU87" s="26">
        <f t="shared" si="6"/>
        <v>0</v>
      </c>
      <c r="AV87" s="13">
        <f t="shared" si="12"/>
        <v>0.07</v>
      </c>
      <c r="AW87" s="26">
        <f t="shared" si="26"/>
        <v>0</v>
      </c>
      <c r="AX87" s="26">
        <f t="shared" si="27"/>
        <v>0</v>
      </c>
      <c r="AY87" s="26">
        <f t="shared" si="25"/>
        <v>0</v>
      </c>
    </row>
    <row r="88" spans="22:51" ht="15.75">
      <c r="V88" s="16">
        <v>63</v>
      </c>
      <c r="W88" s="16">
        <f t="shared" si="22"/>
        <v>0</v>
      </c>
      <c r="X88" s="13">
        <f t="shared" si="23"/>
        <v>0</v>
      </c>
      <c r="Y88" s="14">
        <f t="shared" si="8"/>
        <v>4.940510330799841</v>
      </c>
      <c r="Z88" s="14">
        <f t="shared" si="15"/>
        <v>0</v>
      </c>
      <c r="AA88" s="14">
        <f t="shared" si="16"/>
        <v>0</v>
      </c>
      <c r="AB88" s="14"/>
      <c r="AC88" s="14"/>
      <c r="AD88" s="14"/>
      <c r="AE88" s="8"/>
      <c r="AF88" s="14">
        <f t="shared" si="17"/>
        <v>0</v>
      </c>
      <c r="AG88" s="14">
        <f t="shared" si="18"/>
        <v>10</v>
      </c>
      <c r="AH88" s="25">
        <f t="shared" si="19"/>
        <v>0</v>
      </c>
      <c r="AI88" s="14">
        <f t="shared" si="20"/>
        <v>10</v>
      </c>
      <c r="AJ88" s="14">
        <f t="shared" si="9"/>
        <v>10.50881623495915</v>
      </c>
      <c r="AK88" s="14"/>
      <c r="AL88" s="7">
        <f aca="true" t="shared" si="30" ref="AL88:AL151">AL86+1</f>
        <v>34</v>
      </c>
      <c r="AM88" s="14">
        <f t="shared" si="29"/>
        <v>4.855703222923189</v>
      </c>
      <c r="AN88" s="7">
        <f t="shared" si="28"/>
        <v>0</v>
      </c>
      <c r="AP88" s="14"/>
      <c r="AQ88" s="14"/>
      <c r="AR88" s="14">
        <f t="shared" si="10"/>
        <v>0</v>
      </c>
      <c r="AS88" s="14">
        <f t="shared" si="24"/>
        <v>10.0062</v>
      </c>
      <c r="AT88" s="8">
        <f t="shared" si="11"/>
        <v>10.0062</v>
      </c>
      <c r="AU88" s="26">
        <f t="shared" si="6"/>
        <v>0</v>
      </c>
      <c r="AV88" s="13">
        <f t="shared" si="12"/>
        <v>0.07</v>
      </c>
      <c r="AW88" s="26">
        <f t="shared" si="26"/>
        <v>0</v>
      </c>
      <c r="AX88" s="26">
        <f t="shared" si="27"/>
        <v>0</v>
      </c>
      <c r="AY88" s="26">
        <f t="shared" si="25"/>
        <v>0</v>
      </c>
    </row>
    <row r="89" spans="22:51" ht="15.75">
      <c r="V89" s="16">
        <v>64</v>
      </c>
      <c r="W89" s="16">
        <f aca="true" t="shared" si="31" ref="W89:W120">MIN(V89,$P$5)</f>
        <v>0</v>
      </c>
      <c r="X89" s="13">
        <f aca="true" t="shared" si="32" ref="X89:X120">W89*$W$23</f>
        <v>0</v>
      </c>
      <c r="Y89" s="14">
        <f t="shared" si="8"/>
        <v>4.940510330799841</v>
      </c>
      <c r="Z89" s="14">
        <f t="shared" si="15"/>
        <v>0</v>
      </c>
      <c r="AA89" s="14">
        <f t="shared" si="16"/>
        <v>0</v>
      </c>
      <c r="AB89" s="14"/>
      <c r="AC89" s="14"/>
      <c r="AD89" s="14"/>
      <c r="AE89" s="8"/>
      <c r="AF89" s="14">
        <f t="shared" si="17"/>
        <v>0</v>
      </c>
      <c r="AG89" s="14">
        <f t="shared" si="18"/>
        <v>10</v>
      </c>
      <c r="AH89" s="25">
        <f t="shared" si="19"/>
        <v>0</v>
      </c>
      <c r="AI89" s="14">
        <f t="shared" si="20"/>
        <v>10</v>
      </c>
      <c r="AJ89" s="14">
        <f t="shared" si="9"/>
        <v>10.50881623495915</v>
      </c>
      <c r="AK89" s="14"/>
      <c r="AL89" s="7">
        <f t="shared" si="30"/>
        <v>34</v>
      </c>
      <c r="AM89" s="14">
        <f t="shared" si="29"/>
        <v>4.855703222923189</v>
      </c>
      <c r="AN89" s="7">
        <f t="shared" si="28"/>
        <v>6.6</v>
      </c>
      <c r="AP89" s="14"/>
      <c r="AQ89" s="14"/>
      <c r="AR89" s="14">
        <f t="shared" si="10"/>
        <v>0</v>
      </c>
      <c r="AS89" s="14">
        <f aca="true" t="shared" si="33" ref="AS89:AS125">0.5*$C$4*$H$4^2+$C$4*9.81*$H$3</f>
        <v>10.0062</v>
      </c>
      <c r="AT89" s="8">
        <f t="shared" si="11"/>
        <v>10.0062</v>
      </c>
      <c r="AU89" s="26">
        <f aca="true" t="shared" si="34" ref="AU89:AU125">0.5*$C$4*AR89^2</f>
        <v>0</v>
      </c>
      <c r="AV89" s="13">
        <f t="shared" si="12"/>
        <v>0.07</v>
      </c>
      <c r="AW89" s="26">
        <f t="shared" si="26"/>
        <v>0</v>
      </c>
      <c r="AX89" s="26">
        <f t="shared" si="27"/>
        <v>0</v>
      </c>
      <c r="AY89" s="26">
        <f aca="true" t="shared" si="35" ref="AY89:AY125">AS89-AT89-AU89</f>
        <v>0</v>
      </c>
    </row>
    <row r="90" spans="22:51" ht="15.75">
      <c r="V90" s="7">
        <v>65</v>
      </c>
      <c r="W90" s="16">
        <f t="shared" si="31"/>
        <v>0</v>
      </c>
      <c r="X90" s="13">
        <f t="shared" si="32"/>
        <v>0</v>
      </c>
      <c r="Y90" s="14">
        <f aca="true" t="shared" si="36" ref="Y90:Y125">IF(X90&lt;=$W$16,$W$14,-$C$3/$C$4)</f>
        <v>4.940510330799841</v>
      </c>
      <c r="Z90" s="14">
        <f t="shared" si="15"/>
        <v>0</v>
      </c>
      <c r="AA90" s="14">
        <f t="shared" si="16"/>
        <v>0</v>
      </c>
      <c r="AB90" s="14"/>
      <c r="AC90" s="14"/>
      <c r="AD90" s="14"/>
      <c r="AE90" s="8"/>
      <c r="AF90" s="14">
        <f t="shared" si="17"/>
        <v>0</v>
      </c>
      <c r="AG90" s="14">
        <f t="shared" si="18"/>
        <v>10</v>
      </c>
      <c r="AH90" s="25">
        <f t="shared" si="19"/>
        <v>0</v>
      </c>
      <c r="AI90" s="14">
        <f t="shared" si="20"/>
        <v>10</v>
      </c>
      <c r="AJ90" s="14">
        <f aca="true" t="shared" si="37" ref="AJ90:AJ125">AI90+$AK$22</f>
        <v>10.50881623495915</v>
      </c>
      <c r="AK90" s="14"/>
      <c r="AL90" s="7">
        <f t="shared" si="30"/>
        <v>35</v>
      </c>
      <c r="AM90" s="14">
        <f t="shared" si="29"/>
        <v>4.998518023597401</v>
      </c>
      <c r="AN90" s="7">
        <f t="shared" si="28"/>
        <v>0</v>
      </c>
      <c r="AP90" s="14"/>
      <c r="AQ90" s="14"/>
      <c r="AR90" s="14">
        <f aca="true" t="shared" si="38" ref="AR90:AR125">Z90</f>
        <v>0</v>
      </c>
      <c r="AS90" s="14">
        <f t="shared" si="33"/>
        <v>10.0062</v>
      </c>
      <c r="AT90" s="8">
        <f aca="true" t="shared" si="39" ref="AT90:AT125">$C$4*9.81*AI90</f>
        <v>10.0062</v>
      </c>
      <c r="AU90" s="26">
        <f t="shared" si="34"/>
        <v>0</v>
      </c>
      <c r="AV90" s="13">
        <f aca="true" t="shared" si="40" ref="AV90:AV125">$C$3</f>
        <v>0.07</v>
      </c>
      <c r="AW90" s="26">
        <f aca="true" t="shared" si="41" ref="AW90:AW125">AR90*(X90-X89)</f>
        <v>0</v>
      </c>
      <c r="AX90" s="26">
        <f aca="true" t="shared" si="42" ref="AX90:AX121">AX89+AV90*AW90</f>
        <v>0</v>
      </c>
      <c r="AY90" s="26">
        <f t="shared" si="35"/>
        <v>0</v>
      </c>
    </row>
    <row r="91" spans="22:51" ht="15.75">
      <c r="V91" s="16">
        <v>66</v>
      </c>
      <c r="W91" s="16">
        <f t="shared" si="31"/>
        <v>0</v>
      </c>
      <c r="X91" s="13">
        <f t="shared" si="32"/>
        <v>0</v>
      </c>
      <c r="Y91" s="14">
        <f t="shared" si="36"/>
        <v>4.940510330799841</v>
      </c>
      <c r="Z91" s="14">
        <f aca="true" t="shared" si="43" ref="Z91:Z125">Z90+Y91*(X91-X90)</f>
        <v>0</v>
      </c>
      <c r="AA91" s="14">
        <f aca="true" t="shared" si="44" ref="AA91:AA125">AA90+Z91*(X91-X90)</f>
        <v>0</v>
      </c>
      <c r="AB91" s="14"/>
      <c r="AC91" s="14"/>
      <c r="AD91" s="14"/>
      <c r="AE91" s="8"/>
      <c r="AF91" s="14">
        <f aca="true" t="shared" si="45" ref="AF91:AF125">IF(X90&lt;$W$16,AF90+(AA91-AA90)*COS($H$5/180*PI()),AF90+(AA91-AA90))</f>
        <v>0</v>
      </c>
      <c r="AG91" s="14">
        <f aca="true" t="shared" si="46" ref="AG91:AG125">IF(X90&lt;$W$16,AG90-(AA91-AA90)*SIN($H$5/180*PI()),0)</f>
        <v>10</v>
      </c>
      <c r="AH91" s="25">
        <f aca="true" t="shared" si="47" ref="AH91:AH125">AF91</f>
        <v>0</v>
      </c>
      <c r="AI91" s="14">
        <f aca="true" t="shared" si="48" ref="AI91:AI125">IF(X91&lt;$W$16,AG91,0)</f>
        <v>10</v>
      </c>
      <c r="AJ91" s="14">
        <f t="shared" si="37"/>
        <v>10.50881623495915</v>
      </c>
      <c r="AK91" s="14"/>
      <c r="AL91" s="7">
        <f t="shared" si="30"/>
        <v>35</v>
      </c>
      <c r="AM91" s="14">
        <f t="shared" si="29"/>
        <v>4.998518023597401</v>
      </c>
      <c r="AN91" s="7">
        <f t="shared" si="28"/>
        <v>6.5</v>
      </c>
      <c r="AP91" s="14"/>
      <c r="AQ91" s="14"/>
      <c r="AR91" s="14">
        <f t="shared" si="38"/>
        <v>0</v>
      </c>
      <c r="AS91" s="14">
        <f t="shared" si="33"/>
        <v>10.0062</v>
      </c>
      <c r="AT91" s="8">
        <f t="shared" si="39"/>
        <v>10.0062</v>
      </c>
      <c r="AU91" s="26">
        <f t="shared" si="34"/>
        <v>0</v>
      </c>
      <c r="AV91" s="13">
        <f t="shared" si="40"/>
        <v>0.07</v>
      </c>
      <c r="AW91" s="26">
        <f t="shared" si="41"/>
        <v>0</v>
      </c>
      <c r="AX91" s="26">
        <f t="shared" si="42"/>
        <v>0</v>
      </c>
      <c r="AY91" s="26">
        <f t="shared" si="35"/>
        <v>0</v>
      </c>
    </row>
    <row r="92" spans="22:51" ht="15.75">
      <c r="V92" s="16">
        <v>67</v>
      </c>
      <c r="W92" s="16">
        <f t="shared" si="31"/>
        <v>0</v>
      </c>
      <c r="X92" s="13">
        <f t="shared" si="32"/>
        <v>0</v>
      </c>
      <c r="Y92" s="14">
        <f t="shared" si="36"/>
        <v>4.940510330799841</v>
      </c>
      <c r="Z92" s="14">
        <f t="shared" si="43"/>
        <v>0</v>
      </c>
      <c r="AA92" s="14">
        <f t="shared" si="44"/>
        <v>0</v>
      </c>
      <c r="AB92" s="14"/>
      <c r="AC92" s="14"/>
      <c r="AD92" s="14"/>
      <c r="AE92" s="8"/>
      <c r="AF92" s="14">
        <f t="shared" si="45"/>
        <v>0</v>
      </c>
      <c r="AG92" s="14">
        <f t="shared" si="46"/>
        <v>10</v>
      </c>
      <c r="AH92" s="25">
        <f t="shared" si="47"/>
        <v>0</v>
      </c>
      <c r="AI92" s="14">
        <f t="shared" si="48"/>
        <v>10</v>
      </c>
      <c r="AJ92" s="14">
        <f t="shared" si="37"/>
        <v>10.50881623495915</v>
      </c>
      <c r="AK92" s="14"/>
      <c r="AL92" s="7">
        <f t="shared" si="30"/>
        <v>36</v>
      </c>
      <c r="AM92" s="14">
        <f t="shared" si="29"/>
        <v>5.141332824271612</v>
      </c>
      <c r="AN92" s="7">
        <f t="shared" si="28"/>
        <v>0</v>
      </c>
      <c r="AP92" s="14"/>
      <c r="AQ92" s="14"/>
      <c r="AR92" s="14">
        <f t="shared" si="38"/>
        <v>0</v>
      </c>
      <c r="AS92" s="14">
        <f t="shared" si="33"/>
        <v>10.0062</v>
      </c>
      <c r="AT92" s="8">
        <f t="shared" si="39"/>
        <v>10.0062</v>
      </c>
      <c r="AU92" s="26">
        <f t="shared" si="34"/>
        <v>0</v>
      </c>
      <c r="AV92" s="13">
        <f t="shared" si="40"/>
        <v>0.07</v>
      </c>
      <c r="AW92" s="26">
        <f t="shared" si="41"/>
        <v>0</v>
      </c>
      <c r="AX92" s="26">
        <f t="shared" si="42"/>
        <v>0</v>
      </c>
      <c r="AY92" s="26">
        <f t="shared" si="35"/>
        <v>0</v>
      </c>
    </row>
    <row r="93" spans="22:51" ht="15.75">
      <c r="V93" s="7">
        <v>68</v>
      </c>
      <c r="W93" s="16">
        <f t="shared" si="31"/>
        <v>0</v>
      </c>
      <c r="X93" s="13">
        <f t="shared" si="32"/>
        <v>0</v>
      </c>
      <c r="Y93" s="14">
        <f t="shared" si="36"/>
        <v>4.940510330799841</v>
      </c>
      <c r="Z93" s="14">
        <f t="shared" si="43"/>
        <v>0</v>
      </c>
      <c r="AA93" s="14">
        <f t="shared" si="44"/>
        <v>0</v>
      </c>
      <c r="AB93" s="14"/>
      <c r="AC93" s="14"/>
      <c r="AD93" s="14"/>
      <c r="AE93" s="8"/>
      <c r="AF93" s="14">
        <f t="shared" si="45"/>
        <v>0</v>
      </c>
      <c r="AG93" s="14">
        <f t="shared" si="46"/>
        <v>10</v>
      </c>
      <c r="AH93" s="25">
        <f t="shared" si="47"/>
        <v>0</v>
      </c>
      <c r="AI93" s="14">
        <f t="shared" si="48"/>
        <v>10</v>
      </c>
      <c r="AJ93" s="14">
        <f t="shared" si="37"/>
        <v>10.50881623495915</v>
      </c>
      <c r="AK93" s="14"/>
      <c r="AL93" s="7">
        <f t="shared" si="30"/>
        <v>36</v>
      </c>
      <c r="AM93" s="14">
        <f t="shared" si="29"/>
        <v>5.141332824271612</v>
      </c>
      <c r="AN93" s="7">
        <f t="shared" si="28"/>
        <v>6.4</v>
      </c>
      <c r="AP93" s="14"/>
      <c r="AQ93" s="14"/>
      <c r="AR93" s="14">
        <f t="shared" si="38"/>
        <v>0</v>
      </c>
      <c r="AS93" s="14">
        <f t="shared" si="33"/>
        <v>10.0062</v>
      </c>
      <c r="AT93" s="8">
        <f t="shared" si="39"/>
        <v>10.0062</v>
      </c>
      <c r="AU93" s="26">
        <f t="shared" si="34"/>
        <v>0</v>
      </c>
      <c r="AV93" s="13">
        <f t="shared" si="40"/>
        <v>0.07</v>
      </c>
      <c r="AW93" s="26">
        <f t="shared" si="41"/>
        <v>0</v>
      </c>
      <c r="AX93" s="26">
        <f t="shared" si="42"/>
        <v>0</v>
      </c>
      <c r="AY93" s="26">
        <f t="shared" si="35"/>
        <v>0</v>
      </c>
    </row>
    <row r="94" spans="22:51" ht="15.75">
      <c r="V94" s="16">
        <v>69</v>
      </c>
      <c r="W94" s="16">
        <f t="shared" si="31"/>
        <v>0</v>
      </c>
      <c r="X94" s="13">
        <f t="shared" si="32"/>
        <v>0</v>
      </c>
      <c r="Y94" s="14">
        <f t="shared" si="36"/>
        <v>4.940510330799841</v>
      </c>
      <c r="Z94" s="14">
        <f t="shared" si="43"/>
        <v>0</v>
      </c>
      <c r="AA94" s="14">
        <f t="shared" si="44"/>
        <v>0</v>
      </c>
      <c r="AB94" s="14"/>
      <c r="AC94" s="14"/>
      <c r="AD94" s="14"/>
      <c r="AE94" s="8"/>
      <c r="AF94" s="14">
        <f t="shared" si="45"/>
        <v>0</v>
      </c>
      <c r="AG94" s="14">
        <f t="shared" si="46"/>
        <v>10</v>
      </c>
      <c r="AH94" s="25">
        <f t="shared" si="47"/>
        <v>0</v>
      </c>
      <c r="AI94" s="14">
        <f t="shared" si="48"/>
        <v>10</v>
      </c>
      <c r="AJ94" s="14">
        <f t="shared" si="37"/>
        <v>10.50881623495915</v>
      </c>
      <c r="AK94" s="14"/>
      <c r="AL94" s="7">
        <f t="shared" si="30"/>
        <v>37</v>
      </c>
      <c r="AM94" s="14">
        <f t="shared" si="29"/>
        <v>5.284147624945824</v>
      </c>
      <c r="AN94" s="7">
        <f t="shared" si="28"/>
        <v>0</v>
      </c>
      <c r="AP94" s="14"/>
      <c r="AQ94" s="14"/>
      <c r="AR94" s="14">
        <f t="shared" si="38"/>
        <v>0</v>
      </c>
      <c r="AS94" s="14">
        <f t="shared" si="33"/>
        <v>10.0062</v>
      </c>
      <c r="AT94" s="8">
        <f t="shared" si="39"/>
        <v>10.0062</v>
      </c>
      <c r="AU94" s="26">
        <f t="shared" si="34"/>
        <v>0</v>
      </c>
      <c r="AV94" s="13">
        <f t="shared" si="40"/>
        <v>0.07</v>
      </c>
      <c r="AW94" s="26">
        <f t="shared" si="41"/>
        <v>0</v>
      </c>
      <c r="AX94" s="26">
        <f t="shared" si="42"/>
        <v>0</v>
      </c>
      <c r="AY94" s="26">
        <f t="shared" si="35"/>
        <v>0</v>
      </c>
    </row>
    <row r="95" spans="22:51" ht="15.75">
      <c r="V95" s="16">
        <v>70</v>
      </c>
      <c r="W95" s="16">
        <f t="shared" si="31"/>
        <v>0</v>
      </c>
      <c r="X95" s="13">
        <f t="shared" si="32"/>
        <v>0</v>
      </c>
      <c r="Y95" s="14">
        <f t="shared" si="36"/>
        <v>4.940510330799841</v>
      </c>
      <c r="Z95" s="14">
        <f t="shared" si="43"/>
        <v>0</v>
      </c>
      <c r="AA95" s="14">
        <f t="shared" si="44"/>
        <v>0</v>
      </c>
      <c r="AB95" s="14"/>
      <c r="AC95" s="14"/>
      <c r="AD95" s="14"/>
      <c r="AE95" s="8"/>
      <c r="AF95" s="14">
        <f t="shared" si="45"/>
        <v>0</v>
      </c>
      <c r="AG95" s="14">
        <f t="shared" si="46"/>
        <v>10</v>
      </c>
      <c r="AH95" s="25">
        <f t="shared" si="47"/>
        <v>0</v>
      </c>
      <c r="AI95" s="14">
        <f t="shared" si="48"/>
        <v>10</v>
      </c>
      <c r="AJ95" s="14">
        <f t="shared" si="37"/>
        <v>10.50881623495915</v>
      </c>
      <c r="AK95" s="14"/>
      <c r="AL95" s="7">
        <f t="shared" si="30"/>
        <v>37</v>
      </c>
      <c r="AM95" s="14">
        <f t="shared" si="29"/>
        <v>5.284147624945824</v>
      </c>
      <c r="AN95" s="7">
        <f t="shared" si="28"/>
        <v>6.300000000000001</v>
      </c>
      <c r="AP95" s="14"/>
      <c r="AQ95" s="14"/>
      <c r="AR95" s="14">
        <f t="shared" si="38"/>
        <v>0</v>
      </c>
      <c r="AS95" s="14">
        <f t="shared" si="33"/>
        <v>10.0062</v>
      </c>
      <c r="AT95" s="8">
        <f t="shared" si="39"/>
        <v>10.0062</v>
      </c>
      <c r="AU95" s="26">
        <f t="shared" si="34"/>
        <v>0</v>
      </c>
      <c r="AV95" s="13">
        <f t="shared" si="40"/>
        <v>0.07</v>
      </c>
      <c r="AW95" s="26">
        <f t="shared" si="41"/>
        <v>0</v>
      </c>
      <c r="AX95" s="26">
        <f t="shared" si="42"/>
        <v>0</v>
      </c>
      <c r="AY95" s="26">
        <f t="shared" si="35"/>
        <v>0</v>
      </c>
    </row>
    <row r="96" spans="22:51" ht="15.75">
      <c r="V96" s="7">
        <v>71</v>
      </c>
      <c r="W96" s="16">
        <f t="shared" si="31"/>
        <v>0</v>
      </c>
      <c r="X96" s="13">
        <f t="shared" si="32"/>
        <v>0</v>
      </c>
      <c r="Y96" s="14">
        <f t="shared" si="36"/>
        <v>4.940510330799841</v>
      </c>
      <c r="Z96" s="14">
        <f t="shared" si="43"/>
        <v>0</v>
      </c>
      <c r="AA96" s="14">
        <f t="shared" si="44"/>
        <v>0</v>
      </c>
      <c r="AB96" s="14"/>
      <c r="AC96" s="14"/>
      <c r="AD96" s="14"/>
      <c r="AE96" s="8"/>
      <c r="AF96" s="14">
        <f t="shared" si="45"/>
        <v>0</v>
      </c>
      <c r="AG96" s="14">
        <f t="shared" si="46"/>
        <v>10</v>
      </c>
      <c r="AH96" s="25">
        <f t="shared" si="47"/>
        <v>0</v>
      </c>
      <c r="AI96" s="14">
        <f t="shared" si="48"/>
        <v>10</v>
      </c>
      <c r="AJ96" s="14">
        <f t="shared" si="37"/>
        <v>10.50881623495915</v>
      </c>
      <c r="AK96" s="14"/>
      <c r="AL96" s="7">
        <f t="shared" si="30"/>
        <v>38</v>
      </c>
      <c r="AM96" s="14">
        <f t="shared" si="29"/>
        <v>5.426962425620036</v>
      </c>
      <c r="AN96" s="7">
        <f t="shared" si="28"/>
        <v>0</v>
      </c>
      <c r="AP96" s="14"/>
      <c r="AQ96" s="14"/>
      <c r="AR96" s="14">
        <f t="shared" si="38"/>
        <v>0</v>
      </c>
      <c r="AS96" s="14">
        <f t="shared" si="33"/>
        <v>10.0062</v>
      </c>
      <c r="AT96" s="8">
        <f t="shared" si="39"/>
        <v>10.0062</v>
      </c>
      <c r="AU96" s="26">
        <f t="shared" si="34"/>
        <v>0</v>
      </c>
      <c r="AV96" s="13">
        <f t="shared" si="40"/>
        <v>0.07</v>
      </c>
      <c r="AW96" s="26">
        <f t="shared" si="41"/>
        <v>0</v>
      </c>
      <c r="AX96" s="26">
        <f t="shared" si="42"/>
        <v>0</v>
      </c>
      <c r="AY96" s="26">
        <f t="shared" si="35"/>
        <v>0</v>
      </c>
    </row>
    <row r="97" spans="22:51" ht="15.75">
      <c r="V97" s="16">
        <v>72</v>
      </c>
      <c r="W97" s="16">
        <f t="shared" si="31"/>
        <v>0</v>
      </c>
      <c r="X97" s="13">
        <f t="shared" si="32"/>
        <v>0</v>
      </c>
      <c r="Y97" s="14">
        <f t="shared" si="36"/>
        <v>4.940510330799841</v>
      </c>
      <c r="Z97" s="14">
        <f t="shared" si="43"/>
        <v>0</v>
      </c>
      <c r="AA97" s="14">
        <f t="shared" si="44"/>
        <v>0</v>
      </c>
      <c r="AB97" s="14"/>
      <c r="AC97" s="14"/>
      <c r="AD97" s="14"/>
      <c r="AE97" s="8"/>
      <c r="AF97" s="14">
        <f t="shared" si="45"/>
        <v>0</v>
      </c>
      <c r="AG97" s="14">
        <f t="shared" si="46"/>
        <v>10</v>
      </c>
      <c r="AH97" s="25">
        <f t="shared" si="47"/>
        <v>0</v>
      </c>
      <c r="AI97" s="14">
        <f t="shared" si="48"/>
        <v>10</v>
      </c>
      <c r="AJ97" s="14">
        <f t="shared" si="37"/>
        <v>10.50881623495915</v>
      </c>
      <c r="AK97" s="14"/>
      <c r="AL97" s="7">
        <f t="shared" si="30"/>
        <v>38</v>
      </c>
      <c r="AM97" s="14">
        <f t="shared" si="29"/>
        <v>5.426962425620036</v>
      </c>
      <c r="AN97" s="7">
        <f t="shared" si="28"/>
        <v>6.199999999999999</v>
      </c>
      <c r="AP97" s="14"/>
      <c r="AQ97" s="14"/>
      <c r="AR97" s="14">
        <f t="shared" si="38"/>
        <v>0</v>
      </c>
      <c r="AS97" s="14">
        <f t="shared" si="33"/>
        <v>10.0062</v>
      </c>
      <c r="AT97" s="8">
        <f t="shared" si="39"/>
        <v>10.0062</v>
      </c>
      <c r="AU97" s="26">
        <f t="shared" si="34"/>
        <v>0</v>
      </c>
      <c r="AV97" s="13">
        <f t="shared" si="40"/>
        <v>0.07</v>
      </c>
      <c r="AW97" s="26">
        <f t="shared" si="41"/>
        <v>0</v>
      </c>
      <c r="AX97" s="26">
        <f t="shared" si="42"/>
        <v>0</v>
      </c>
      <c r="AY97" s="26">
        <f t="shared" si="35"/>
        <v>0</v>
      </c>
    </row>
    <row r="98" spans="22:51" ht="15.75">
      <c r="V98" s="16">
        <v>73</v>
      </c>
      <c r="W98" s="16">
        <f t="shared" si="31"/>
        <v>0</v>
      </c>
      <c r="X98" s="13">
        <f t="shared" si="32"/>
        <v>0</v>
      </c>
      <c r="Y98" s="14">
        <f t="shared" si="36"/>
        <v>4.940510330799841</v>
      </c>
      <c r="Z98" s="14">
        <f t="shared" si="43"/>
        <v>0</v>
      </c>
      <c r="AA98" s="14">
        <f t="shared" si="44"/>
        <v>0</v>
      </c>
      <c r="AB98" s="14"/>
      <c r="AC98" s="14"/>
      <c r="AD98" s="14"/>
      <c r="AE98" s="8"/>
      <c r="AF98" s="14">
        <f t="shared" si="45"/>
        <v>0</v>
      </c>
      <c r="AG98" s="14">
        <f t="shared" si="46"/>
        <v>10</v>
      </c>
      <c r="AH98" s="25">
        <f t="shared" si="47"/>
        <v>0</v>
      </c>
      <c r="AI98" s="14">
        <f t="shared" si="48"/>
        <v>10</v>
      </c>
      <c r="AJ98" s="14">
        <f t="shared" si="37"/>
        <v>10.50881623495915</v>
      </c>
      <c r="AK98" s="14"/>
      <c r="AL98" s="7">
        <f t="shared" si="30"/>
        <v>39</v>
      </c>
      <c r="AM98" s="14">
        <f t="shared" si="29"/>
        <v>5.569777226294247</v>
      </c>
      <c r="AN98" s="7">
        <f t="shared" si="28"/>
        <v>0</v>
      </c>
      <c r="AP98" s="14"/>
      <c r="AQ98" s="14"/>
      <c r="AR98" s="14">
        <f t="shared" si="38"/>
        <v>0</v>
      </c>
      <c r="AS98" s="14">
        <f t="shared" si="33"/>
        <v>10.0062</v>
      </c>
      <c r="AT98" s="8">
        <f t="shared" si="39"/>
        <v>10.0062</v>
      </c>
      <c r="AU98" s="26">
        <f t="shared" si="34"/>
        <v>0</v>
      </c>
      <c r="AV98" s="13">
        <f t="shared" si="40"/>
        <v>0.07</v>
      </c>
      <c r="AW98" s="26">
        <f t="shared" si="41"/>
        <v>0</v>
      </c>
      <c r="AX98" s="26">
        <f t="shared" si="42"/>
        <v>0</v>
      </c>
      <c r="AY98" s="26">
        <f t="shared" si="35"/>
        <v>0</v>
      </c>
    </row>
    <row r="99" spans="22:51" ht="15.75">
      <c r="V99" s="7">
        <v>74</v>
      </c>
      <c r="W99" s="16">
        <f t="shared" si="31"/>
        <v>0</v>
      </c>
      <c r="X99" s="13">
        <f t="shared" si="32"/>
        <v>0</v>
      </c>
      <c r="Y99" s="14">
        <f t="shared" si="36"/>
        <v>4.940510330799841</v>
      </c>
      <c r="Z99" s="14">
        <f t="shared" si="43"/>
        <v>0</v>
      </c>
      <c r="AA99" s="14">
        <f t="shared" si="44"/>
        <v>0</v>
      </c>
      <c r="AB99" s="14"/>
      <c r="AC99" s="14"/>
      <c r="AD99" s="14"/>
      <c r="AE99" s="8"/>
      <c r="AF99" s="14">
        <f t="shared" si="45"/>
        <v>0</v>
      </c>
      <c r="AG99" s="14">
        <f t="shared" si="46"/>
        <v>10</v>
      </c>
      <c r="AH99" s="25">
        <f t="shared" si="47"/>
        <v>0</v>
      </c>
      <c r="AI99" s="14">
        <f t="shared" si="48"/>
        <v>10</v>
      </c>
      <c r="AJ99" s="14">
        <f t="shared" si="37"/>
        <v>10.50881623495915</v>
      </c>
      <c r="AK99" s="14"/>
      <c r="AL99" s="7">
        <f t="shared" si="30"/>
        <v>39</v>
      </c>
      <c r="AM99" s="14">
        <f t="shared" si="29"/>
        <v>5.569777226294247</v>
      </c>
      <c r="AN99" s="7">
        <f t="shared" si="28"/>
        <v>6.1</v>
      </c>
      <c r="AP99" s="14"/>
      <c r="AQ99" s="14"/>
      <c r="AR99" s="14">
        <f t="shared" si="38"/>
        <v>0</v>
      </c>
      <c r="AS99" s="14">
        <f t="shared" si="33"/>
        <v>10.0062</v>
      </c>
      <c r="AT99" s="8">
        <f t="shared" si="39"/>
        <v>10.0062</v>
      </c>
      <c r="AU99" s="26">
        <f t="shared" si="34"/>
        <v>0</v>
      </c>
      <c r="AV99" s="13">
        <f t="shared" si="40"/>
        <v>0.07</v>
      </c>
      <c r="AW99" s="26">
        <f t="shared" si="41"/>
        <v>0</v>
      </c>
      <c r="AX99" s="26">
        <f t="shared" si="42"/>
        <v>0</v>
      </c>
      <c r="AY99" s="26">
        <f t="shared" si="35"/>
        <v>0</v>
      </c>
    </row>
    <row r="100" spans="22:51" ht="15.75">
      <c r="V100" s="16">
        <v>75</v>
      </c>
      <c r="W100" s="16">
        <f t="shared" si="31"/>
        <v>0</v>
      </c>
      <c r="X100" s="13">
        <f t="shared" si="32"/>
        <v>0</v>
      </c>
      <c r="Y100" s="14">
        <f t="shared" si="36"/>
        <v>4.940510330799841</v>
      </c>
      <c r="Z100" s="14">
        <f t="shared" si="43"/>
        <v>0</v>
      </c>
      <c r="AA100" s="14">
        <f t="shared" si="44"/>
        <v>0</v>
      </c>
      <c r="AB100" s="14"/>
      <c r="AC100" s="14"/>
      <c r="AD100" s="14"/>
      <c r="AE100" s="8"/>
      <c r="AF100" s="14">
        <f t="shared" si="45"/>
        <v>0</v>
      </c>
      <c r="AG100" s="14">
        <f t="shared" si="46"/>
        <v>10</v>
      </c>
      <c r="AH100" s="25">
        <f t="shared" si="47"/>
        <v>0</v>
      </c>
      <c r="AI100" s="14">
        <f t="shared" si="48"/>
        <v>10</v>
      </c>
      <c r="AJ100" s="14">
        <f t="shared" si="37"/>
        <v>10.50881623495915</v>
      </c>
      <c r="AK100" s="14"/>
      <c r="AL100" s="7">
        <f t="shared" si="30"/>
        <v>40</v>
      </c>
      <c r="AM100" s="14">
        <f t="shared" si="29"/>
        <v>5.7125920269684585</v>
      </c>
      <c r="AN100" s="7">
        <f t="shared" si="28"/>
        <v>0</v>
      </c>
      <c r="AP100" s="14"/>
      <c r="AQ100" s="14"/>
      <c r="AR100" s="14">
        <f t="shared" si="38"/>
        <v>0</v>
      </c>
      <c r="AS100" s="14">
        <f t="shared" si="33"/>
        <v>10.0062</v>
      </c>
      <c r="AT100" s="8">
        <f t="shared" si="39"/>
        <v>10.0062</v>
      </c>
      <c r="AU100" s="26">
        <f t="shared" si="34"/>
        <v>0</v>
      </c>
      <c r="AV100" s="13">
        <f t="shared" si="40"/>
        <v>0.07</v>
      </c>
      <c r="AW100" s="26">
        <f t="shared" si="41"/>
        <v>0</v>
      </c>
      <c r="AX100" s="26">
        <f t="shared" si="42"/>
        <v>0</v>
      </c>
      <c r="AY100" s="26">
        <f t="shared" si="35"/>
        <v>0</v>
      </c>
    </row>
    <row r="101" spans="22:51" ht="15.75">
      <c r="V101" s="16">
        <v>76</v>
      </c>
      <c r="W101" s="16">
        <f t="shared" si="31"/>
        <v>0</v>
      </c>
      <c r="X101" s="13">
        <f t="shared" si="32"/>
        <v>0</v>
      </c>
      <c r="Y101" s="14">
        <f t="shared" si="36"/>
        <v>4.940510330799841</v>
      </c>
      <c r="Z101" s="14">
        <f t="shared" si="43"/>
        <v>0</v>
      </c>
      <c r="AA101" s="14">
        <f t="shared" si="44"/>
        <v>0</v>
      </c>
      <c r="AB101" s="14"/>
      <c r="AC101" s="14"/>
      <c r="AD101" s="14"/>
      <c r="AE101" s="8"/>
      <c r="AF101" s="14">
        <f t="shared" si="45"/>
        <v>0</v>
      </c>
      <c r="AG101" s="14">
        <f t="shared" si="46"/>
        <v>10</v>
      </c>
      <c r="AH101" s="25">
        <f t="shared" si="47"/>
        <v>0</v>
      </c>
      <c r="AI101" s="14">
        <f t="shared" si="48"/>
        <v>10</v>
      </c>
      <c r="AJ101" s="14">
        <f t="shared" si="37"/>
        <v>10.50881623495915</v>
      </c>
      <c r="AK101" s="14"/>
      <c r="AL101" s="7">
        <f t="shared" si="30"/>
        <v>40</v>
      </c>
      <c r="AM101" s="14">
        <f t="shared" si="29"/>
        <v>5.7125920269684585</v>
      </c>
      <c r="AN101" s="7">
        <f t="shared" si="28"/>
        <v>6</v>
      </c>
      <c r="AP101" s="14"/>
      <c r="AQ101" s="14"/>
      <c r="AR101" s="14">
        <f t="shared" si="38"/>
        <v>0</v>
      </c>
      <c r="AS101" s="14">
        <f t="shared" si="33"/>
        <v>10.0062</v>
      </c>
      <c r="AT101" s="8">
        <f t="shared" si="39"/>
        <v>10.0062</v>
      </c>
      <c r="AU101" s="26">
        <f t="shared" si="34"/>
        <v>0</v>
      </c>
      <c r="AV101" s="13">
        <f t="shared" si="40"/>
        <v>0.07</v>
      </c>
      <c r="AW101" s="26">
        <f t="shared" si="41"/>
        <v>0</v>
      </c>
      <c r="AX101" s="26">
        <f t="shared" si="42"/>
        <v>0</v>
      </c>
      <c r="AY101" s="26">
        <f t="shared" si="35"/>
        <v>0</v>
      </c>
    </row>
    <row r="102" spans="22:51" ht="15.75">
      <c r="V102" s="7">
        <v>77</v>
      </c>
      <c r="W102" s="16">
        <f t="shared" si="31"/>
        <v>0</v>
      </c>
      <c r="X102" s="13">
        <f t="shared" si="32"/>
        <v>0</v>
      </c>
      <c r="Y102" s="14">
        <f t="shared" si="36"/>
        <v>4.940510330799841</v>
      </c>
      <c r="Z102" s="14">
        <f t="shared" si="43"/>
        <v>0</v>
      </c>
      <c r="AA102" s="14">
        <f t="shared" si="44"/>
        <v>0</v>
      </c>
      <c r="AB102" s="14"/>
      <c r="AC102" s="14"/>
      <c r="AD102" s="14"/>
      <c r="AE102" s="8"/>
      <c r="AF102" s="14">
        <f t="shared" si="45"/>
        <v>0</v>
      </c>
      <c r="AG102" s="14">
        <f t="shared" si="46"/>
        <v>10</v>
      </c>
      <c r="AH102" s="25">
        <f t="shared" si="47"/>
        <v>0</v>
      </c>
      <c r="AI102" s="14">
        <f t="shared" si="48"/>
        <v>10</v>
      </c>
      <c r="AJ102" s="14">
        <f t="shared" si="37"/>
        <v>10.50881623495915</v>
      </c>
      <c r="AK102" s="14"/>
      <c r="AL102" s="7">
        <f t="shared" si="30"/>
        <v>41</v>
      </c>
      <c r="AM102" s="14">
        <f t="shared" si="29"/>
        <v>5.855406827642669</v>
      </c>
      <c r="AN102" s="7">
        <f t="shared" si="28"/>
        <v>0</v>
      </c>
      <c r="AP102" s="14"/>
      <c r="AQ102" s="14"/>
      <c r="AR102" s="14">
        <f t="shared" si="38"/>
        <v>0</v>
      </c>
      <c r="AS102" s="14">
        <f t="shared" si="33"/>
        <v>10.0062</v>
      </c>
      <c r="AT102" s="8">
        <f t="shared" si="39"/>
        <v>10.0062</v>
      </c>
      <c r="AU102" s="26">
        <f t="shared" si="34"/>
        <v>0</v>
      </c>
      <c r="AV102" s="13">
        <f t="shared" si="40"/>
        <v>0.07</v>
      </c>
      <c r="AW102" s="26">
        <f t="shared" si="41"/>
        <v>0</v>
      </c>
      <c r="AX102" s="26">
        <f t="shared" si="42"/>
        <v>0</v>
      </c>
      <c r="AY102" s="26">
        <f t="shared" si="35"/>
        <v>0</v>
      </c>
    </row>
    <row r="103" spans="22:51" ht="15.75">
      <c r="V103" s="16">
        <v>78</v>
      </c>
      <c r="W103" s="16">
        <f t="shared" si="31"/>
        <v>0</v>
      </c>
      <c r="X103" s="13">
        <f t="shared" si="32"/>
        <v>0</v>
      </c>
      <c r="Y103" s="14">
        <f t="shared" si="36"/>
        <v>4.940510330799841</v>
      </c>
      <c r="Z103" s="14">
        <f t="shared" si="43"/>
        <v>0</v>
      </c>
      <c r="AA103" s="14">
        <f t="shared" si="44"/>
        <v>0</v>
      </c>
      <c r="AB103" s="14"/>
      <c r="AC103" s="14"/>
      <c r="AD103" s="14"/>
      <c r="AE103" s="8"/>
      <c r="AF103" s="14">
        <f t="shared" si="45"/>
        <v>0</v>
      </c>
      <c r="AG103" s="14">
        <f t="shared" si="46"/>
        <v>10</v>
      </c>
      <c r="AH103" s="25">
        <f t="shared" si="47"/>
        <v>0</v>
      </c>
      <c r="AI103" s="14">
        <f t="shared" si="48"/>
        <v>10</v>
      </c>
      <c r="AJ103" s="14">
        <f t="shared" si="37"/>
        <v>10.50881623495915</v>
      </c>
      <c r="AK103" s="14"/>
      <c r="AL103" s="7">
        <f t="shared" si="30"/>
        <v>41</v>
      </c>
      <c r="AM103" s="14">
        <f t="shared" si="29"/>
        <v>5.855406827642669</v>
      </c>
      <c r="AN103" s="7">
        <f t="shared" si="28"/>
        <v>5.9</v>
      </c>
      <c r="AP103" s="14"/>
      <c r="AQ103" s="14"/>
      <c r="AR103" s="14">
        <f t="shared" si="38"/>
        <v>0</v>
      </c>
      <c r="AS103" s="14">
        <f t="shared" si="33"/>
        <v>10.0062</v>
      </c>
      <c r="AT103" s="8">
        <f t="shared" si="39"/>
        <v>10.0062</v>
      </c>
      <c r="AU103" s="26">
        <f t="shared" si="34"/>
        <v>0</v>
      </c>
      <c r="AV103" s="13">
        <f t="shared" si="40"/>
        <v>0.07</v>
      </c>
      <c r="AW103" s="26">
        <f t="shared" si="41"/>
        <v>0</v>
      </c>
      <c r="AX103" s="26">
        <f t="shared" si="42"/>
        <v>0</v>
      </c>
      <c r="AY103" s="26">
        <f t="shared" si="35"/>
        <v>0</v>
      </c>
    </row>
    <row r="104" spans="22:51" ht="15.75">
      <c r="V104" s="16">
        <v>79</v>
      </c>
      <c r="W104" s="16">
        <f t="shared" si="31"/>
        <v>0</v>
      </c>
      <c r="X104" s="13">
        <f t="shared" si="32"/>
        <v>0</v>
      </c>
      <c r="Y104" s="14">
        <f t="shared" si="36"/>
        <v>4.940510330799841</v>
      </c>
      <c r="Z104" s="14">
        <f t="shared" si="43"/>
        <v>0</v>
      </c>
      <c r="AA104" s="14">
        <f t="shared" si="44"/>
        <v>0</v>
      </c>
      <c r="AB104" s="14"/>
      <c r="AC104" s="14"/>
      <c r="AD104" s="14"/>
      <c r="AE104" s="8"/>
      <c r="AF104" s="14">
        <f t="shared" si="45"/>
        <v>0</v>
      </c>
      <c r="AG104" s="14">
        <f t="shared" si="46"/>
        <v>10</v>
      </c>
      <c r="AH104" s="25">
        <f t="shared" si="47"/>
        <v>0</v>
      </c>
      <c r="AI104" s="14">
        <f t="shared" si="48"/>
        <v>10</v>
      </c>
      <c r="AJ104" s="14">
        <f t="shared" si="37"/>
        <v>10.50881623495915</v>
      </c>
      <c r="AK104" s="14"/>
      <c r="AL104" s="7">
        <f t="shared" si="30"/>
        <v>42</v>
      </c>
      <c r="AM104" s="14">
        <f t="shared" si="29"/>
        <v>5.998221628316881</v>
      </c>
      <c r="AN104" s="7">
        <f t="shared" si="28"/>
        <v>0</v>
      </c>
      <c r="AP104" s="14"/>
      <c r="AQ104" s="14"/>
      <c r="AR104" s="14">
        <f t="shared" si="38"/>
        <v>0</v>
      </c>
      <c r="AS104" s="14">
        <f t="shared" si="33"/>
        <v>10.0062</v>
      </c>
      <c r="AT104" s="8">
        <f t="shared" si="39"/>
        <v>10.0062</v>
      </c>
      <c r="AU104" s="26">
        <f t="shared" si="34"/>
        <v>0</v>
      </c>
      <c r="AV104" s="13">
        <f t="shared" si="40"/>
        <v>0.07</v>
      </c>
      <c r="AW104" s="26">
        <f t="shared" si="41"/>
        <v>0</v>
      </c>
      <c r="AX104" s="26">
        <f t="shared" si="42"/>
        <v>0</v>
      </c>
      <c r="AY104" s="26">
        <f t="shared" si="35"/>
        <v>0</v>
      </c>
    </row>
    <row r="105" spans="22:51" ht="15.75">
      <c r="V105" s="7">
        <v>80</v>
      </c>
      <c r="W105" s="16">
        <f t="shared" si="31"/>
        <v>0</v>
      </c>
      <c r="X105" s="13">
        <f t="shared" si="32"/>
        <v>0</v>
      </c>
      <c r="Y105" s="14">
        <f t="shared" si="36"/>
        <v>4.940510330799841</v>
      </c>
      <c r="Z105" s="14">
        <f t="shared" si="43"/>
        <v>0</v>
      </c>
      <c r="AA105" s="14">
        <f t="shared" si="44"/>
        <v>0</v>
      </c>
      <c r="AB105" s="14"/>
      <c r="AC105" s="14"/>
      <c r="AD105" s="14"/>
      <c r="AE105" s="8"/>
      <c r="AF105" s="14">
        <f t="shared" si="45"/>
        <v>0</v>
      </c>
      <c r="AG105" s="14">
        <f t="shared" si="46"/>
        <v>10</v>
      </c>
      <c r="AH105" s="25">
        <f t="shared" si="47"/>
        <v>0</v>
      </c>
      <c r="AI105" s="14">
        <f t="shared" si="48"/>
        <v>10</v>
      </c>
      <c r="AJ105" s="14">
        <f t="shared" si="37"/>
        <v>10.50881623495915</v>
      </c>
      <c r="AK105" s="14"/>
      <c r="AL105" s="7">
        <f t="shared" si="30"/>
        <v>42</v>
      </c>
      <c r="AM105" s="14">
        <f t="shared" si="29"/>
        <v>5.998221628316881</v>
      </c>
      <c r="AN105" s="7">
        <f t="shared" si="28"/>
        <v>5.8</v>
      </c>
      <c r="AP105" s="14"/>
      <c r="AQ105" s="14"/>
      <c r="AR105" s="14">
        <f t="shared" si="38"/>
        <v>0</v>
      </c>
      <c r="AS105" s="14">
        <f t="shared" si="33"/>
        <v>10.0062</v>
      </c>
      <c r="AT105" s="8">
        <f t="shared" si="39"/>
        <v>10.0062</v>
      </c>
      <c r="AU105" s="26">
        <f t="shared" si="34"/>
        <v>0</v>
      </c>
      <c r="AV105" s="13">
        <f t="shared" si="40"/>
        <v>0.07</v>
      </c>
      <c r="AW105" s="26">
        <f t="shared" si="41"/>
        <v>0</v>
      </c>
      <c r="AX105" s="26">
        <f t="shared" si="42"/>
        <v>0</v>
      </c>
      <c r="AY105" s="26">
        <f t="shared" si="35"/>
        <v>0</v>
      </c>
    </row>
    <row r="106" spans="22:51" ht="15.75">
      <c r="V106" s="16">
        <v>81</v>
      </c>
      <c r="W106" s="16">
        <f t="shared" si="31"/>
        <v>0</v>
      </c>
      <c r="X106" s="13">
        <f t="shared" si="32"/>
        <v>0</v>
      </c>
      <c r="Y106" s="14">
        <f t="shared" si="36"/>
        <v>4.940510330799841</v>
      </c>
      <c r="Z106" s="14">
        <f t="shared" si="43"/>
        <v>0</v>
      </c>
      <c r="AA106" s="14">
        <f t="shared" si="44"/>
        <v>0</v>
      </c>
      <c r="AB106" s="14"/>
      <c r="AC106" s="14"/>
      <c r="AD106" s="14"/>
      <c r="AE106" s="8"/>
      <c r="AF106" s="14">
        <f t="shared" si="45"/>
        <v>0</v>
      </c>
      <c r="AG106" s="14">
        <f t="shared" si="46"/>
        <v>10</v>
      </c>
      <c r="AH106" s="25">
        <f t="shared" si="47"/>
        <v>0</v>
      </c>
      <c r="AI106" s="14">
        <f t="shared" si="48"/>
        <v>10</v>
      </c>
      <c r="AJ106" s="14">
        <f t="shared" si="37"/>
        <v>10.50881623495915</v>
      </c>
      <c r="AK106" s="14"/>
      <c r="AL106" s="7">
        <f t="shared" si="30"/>
        <v>43</v>
      </c>
      <c r="AM106" s="14">
        <f t="shared" si="29"/>
        <v>6.141036428991093</v>
      </c>
      <c r="AN106" s="7">
        <f t="shared" si="28"/>
        <v>0</v>
      </c>
      <c r="AP106" s="14"/>
      <c r="AQ106" s="14"/>
      <c r="AR106" s="14">
        <f t="shared" si="38"/>
        <v>0</v>
      </c>
      <c r="AS106" s="14">
        <f t="shared" si="33"/>
        <v>10.0062</v>
      </c>
      <c r="AT106" s="8">
        <f t="shared" si="39"/>
        <v>10.0062</v>
      </c>
      <c r="AU106" s="26">
        <f t="shared" si="34"/>
        <v>0</v>
      </c>
      <c r="AV106" s="13">
        <f t="shared" si="40"/>
        <v>0.07</v>
      </c>
      <c r="AW106" s="26">
        <f t="shared" si="41"/>
        <v>0</v>
      </c>
      <c r="AX106" s="26">
        <f t="shared" si="42"/>
        <v>0</v>
      </c>
      <c r="AY106" s="26">
        <f t="shared" si="35"/>
        <v>0</v>
      </c>
    </row>
    <row r="107" spans="22:51" ht="15.75">
      <c r="V107" s="16">
        <v>82</v>
      </c>
      <c r="W107" s="16">
        <f t="shared" si="31"/>
        <v>0</v>
      </c>
      <c r="X107" s="13">
        <f t="shared" si="32"/>
        <v>0</v>
      </c>
      <c r="Y107" s="14">
        <f t="shared" si="36"/>
        <v>4.940510330799841</v>
      </c>
      <c r="Z107" s="14">
        <f t="shared" si="43"/>
        <v>0</v>
      </c>
      <c r="AA107" s="14">
        <f t="shared" si="44"/>
        <v>0</v>
      </c>
      <c r="AB107" s="14"/>
      <c r="AC107" s="14"/>
      <c r="AD107" s="14"/>
      <c r="AE107" s="8"/>
      <c r="AF107" s="14">
        <f t="shared" si="45"/>
        <v>0</v>
      </c>
      <c r="AG107" s="14">
        <f t="shared" si="46"/>
        <v>10</v>
      </c>
      <c r="AH107" s="25">
        <f t="shared" si="47"/>
        <v>0</v>
      </c>
      <c r="AI107" s="14">
        <f t="shared" si="48"/>
        <v>10</v>
      </c>
      <c r="AJ107" s="14">
        <f t="shared" si="37"/>
        <v>10.50881623495915</v>
      </c>
      <c r="AK107" s="14"/>
      <c r="AL107" s="7">
        <f t="shared" si="30"/>
        <v>43</v>
      </c>
      <c r="AM107" s="14">
        <f t="shared" si="29"/>
        <v>6.141036428991093</v>
      </c>
      <c r="AN107" s="7">
        <f t="shared" si="28"/>
        <v>5.7</v>
      </c>
      <c r="AP107" s="14"/>
      <c r="AQ107" s="14"/>
      <c r="AR107" s="14">
        <f t="shared" si="38"/>
        <v>0</v>
      </c>
      <c r="AS107" s="14">
        <f t="shared" si="33"/>
        <v>10.0062</v>
      </c>
      <c r="AT107" s="8">
        <f t="shared" si="39"/>
        <v>10.0062</v>
      </c>
      <c r="AU107" s="26">
        <f t="shared" si="34"/>
        <v>0</v>
      </c>
      <c r="AV107" s="13">
        <f t="shared" si="40"/>
        <v>0.07</v>
      </c>
      <c r="AW107" s="26">
        <f t="shared" si="41"/>
        <v>0</v>
      </c>
      <c r="AX107" s="26">
        <f t="shared" si="42"/>
        <v>0</v>
      </c>
      <c r="AY107" s="26">
        <f t="shared" si="35"/>
        <v>0</v>
      </c>
    </row>
    <row r="108" spans="22:51" ht="15.75">
      <c r="V108" s="7">
        <v>83</v>
      </c>
      <c r="W108" s="16">
        <f t="shared" si="31"/>
        <v>0</v>
      </c>
      <c r="X108" s="13">
        <f t="shared" si="32"/>
        <v>0</v>
      </c>
      <c r="Y108" s="14">
        <f t="shared" si="36"/>
        <v>4.940510330799841</v>
      </c>
      <c r="Z108" s="14">
        <f t="shared" si="43"/>
        <v>0</v>
      </c>
      <c r="AA108" s="14">
        <f t="shared" si="44"/>
        <v>0</v>
      </c>
      <c r="AB108" s="14"/>
      <c r="AC108" s="14"/>
      <c r="AD108" s="14"/>
      <c r="AE108" s="8"/>
      <c r="AF108" s="14">
        <f t="shared" si="45"/>
        <v>0</v>
      </c>
      <c r="AG108" s="14">
        <f t="shared" si="46"/>
        <v>10</v>
      </c>
      <c r="AH108" s="25">
        <f t="shared" si="47"/>
        <v>0</v>
      </c>
      <c r="AI108" s="14">
        <f t="shared" si="48"/>
        <v>10</v>
      </c>
      <c r="AJ108" s="14">
        <f t="shared" si="37"/>
        <v>10.50881623495915</v>
      </c>
      <c r="AK108" s="14"/>
      <c r="AL108" s="7">
        <f t="shared" si="30"/>
        <v>44</v>
      </c>
      <c r="AM108" s="14">
        <f t="shared" si="29"/>
        <v>6.283851229665304</v>
      </c>
      <c r="AN108" s="7">
        <f t="shared" si="28"/>
        <v>0</v>
      </c>
      <c r="AP108" s="14"/>
      <c r="AQ108" s="14"/>
      <c r="AR108" s="14">
        <f t="shared" si="38"/>
        <v>0</v>
      </c>
      <c r="AS108" s="14">
        <f t="shared" si="33"/>
        <v>10.0062</v>
      </c>
      <c r="AT108" s="8">
        <f t="shared" si="39"/>
        <v>10.0062</v>
      </c>
      <c r="AU108" s="26">
        <f t="shared" si="34"/>
        <v>0</v>
      </c>
      <c r="AV108" s="13">
        <f t="shared" si="40"/>
        <v>0.07</v>
      </c>
      <c r="AW108" s="26">
        <f t="shared" si="41"/>
        <v>0</v>
      </c>
      <c r="AX108" s="26">
        <f t="shared" si="42"/>
        <v>0</v>
      </c>
      <c r="AY108" s="26">
        <f t="shared" si="35"/>
        <v>0</v>
      </c>
    </row>
    <row r="109" spans="22:51" ht="15.75">
      <c r="V109" s="16">
        <v>84</v>
      </c>
      <c r="W109" s="16">
        <f t="shared" si="31"/>
        <v>0</v>
      </c>
      <c r="X109" s="13">
        <f t="shared" si="32"/>
        <v>0</v>
      </c>
      <c r="Y109" s="14">
        <f t="shared" si="36"/>
        <v>4.940510330799841</v>
      </c>
      <c r="Z109" s="14">
        <f t="shared" si="43"/>
        <v>0</v>
      </c>
      <c r="AA109" s="14">
        <f t="shared" si="44"/>
        <v>0</v>
      </c>
      <c r="AB109" s="14"/>
      <c r="AC109" s="14"/>
      <c r="AD109" s="14"/>
      <c r="AE109" s="8"/>
      <c r="AF109" s="14">
        <f t="shared" si="45"/>
        <v>0</v>
      </c>
      <c r="AG109" s="14">
        <f t="shared" si="46"/>
        <v>10</v>
      </c>
      <c r="AH109" s="25">
        <f t="shared" si="47"/>
        <v>0</v>
      </c>
      <c r="AI109" s="14">
        <f t="shared" si="48"/>
        <v>10</v>
      </c>
      <c r="AJ109" s="14">
        <f t="shared" si="37"/>
        <v>10.50881623495915</v>
      </c>
      <c r="AK109" s="14"/>
      <c r="AL109" s="7">
        <f t="shared" si="30"/>
        <v>44</v>
      </c>
      <c r="AM109" s="14">
        <f t="shared" si="29"/>
        <v>6.283851229665304</v>
      </c>
      <c r="AN109" s="7">
        <f t="shared" si="28"/>
        <v>5.6000000000000005</v>
      </c>
      <c r="AP109" s="14"/>
      <c r="AQ109" s="14"/>
      <c r="AR109" s="14">
        <f t="shared" si="38"/>
        <v>0</v>
      </c>
      <c r="AS109" s="14">
        <f t="shared" si="33"/>
        <v>10.0062</v>
      </c>
      <c r="AT109" s="8">
        <f t="shared" si="39"/>
        <v>10.0062</v>
      </c>
      <c r="AU109" s="26">
        <f t="shared" si="34"/>
        <v>0</v>
      </c>
      <c r="AV109" s="13">
        <f t="shared" si="40"/>
        <v>0.07</v>
      </c>
      <c r="AW109" s="26">
        <f t="shared" si="41"/>
        <v>0</v>
      </c>
      <c r="AX109" s="26">
        <f t="shared" si="42"/>
        <v>0</v>
      </c>
      <c r="AY109" s="26">
        <f t="shared" si="35"/>
        <v>0</v>
      </c>
    </row>
    <row r="110" spans="22:51" ht="15.75">
      <c r="V110" s="16">
        <v>85</v>
      </c>
      <c r="W110" s="16">
        <f t="shared" si="31"/>
        <v>0</v>
      </c>
      <c r="X110" s="13">
        <f t="shared" si="32"/>
        <v>0</v>
      </c>
      <c r="Y110" s="14">
        <f t="shared" si="36"/>
        <v>4.940510330799841</v>
      </c>
      <c r="Z110" s="14">
        <f t="shared" si="43"/>
        <v>0</v>
      </c>
      <c r="AA110" s="14">
        <f t="shared" si="44"/>
        <v>0</v>
      </c>
      <c r="AB110" s="14"/>
      <c r="AC110" s="14"/>
      <c r="AD110" s="14"/>
      <c r="AE110" s="8"/>
      <c r="AF110" s="14">
        <f t="shared" si="45"/>
        <v>0</v>
      </c>
      <c r="AG110" s="14">
        <f t="shared" si="46"/>
        <v>10</v>
      </c>
      <c r="AH110" s="25">
        <f t="shared" si="47"/>
        <v>0</v>
      </c>
      <c r="AI110" s="14">
        <f t="shared" si="48"/>
        <v>10</v>
      </c>
      <c r="AJ110" s="14">
        <f t="shared" si="37"/>
        <v>10.50881623495915</v>
      </c>
      <c r="AK110" s="14"/>
      <c r="AL110" s="7">
        <f t="shared" si="30"/>
        <v>45</v>
      </c>
      <c r="AM110" s="14">
        <f t="shared" si="29"/>
        <v>6.426666030339516</v>
      </c>
      <c r="AN110" s="7">
        <f t="shared" si="28"/>
        <v>0</v>
      </c>
      <c r="AP110" s="14"/>
      <c r="AQ110" s="14"/>
      <c r="AR110" s="14">
        <f t="shared" si="38"/>
        <v>0</v>
      </c>
      <c r="AS110" s="14">
        <f t="shared" si="33"/>
        <v>10.0062</v>
      </c>
      <c r="AT110" s="8">
        <f t="shared" si="39"/>
        <v>10.0062</v>
      </c>
      <c r="AU110" s="26">
        <f t="shared" si="34"/>
        <v>0</v>
      </c>
      <c r="AV110" s="13">
        <f t="shared" si="40"/>
        <v>0.07</v>
      </c>
      <c r="AW110" s="26">
        <f t="shared" si="41"/>
        <v>0</v>
      </c>
      <c r="AX110" s="26">
        <f t="shared" si="42"/>
        <v>0</v>
      </c>
      <c r="AY110" s="26">
        <f t="shared" si="35"/>
        <v>0</v>
      </c>
    </row>
    <row r="111" spans="22:51" ht="15.75">
      <c r="V111" s="7">
        <v>86</v>
      </c>
      <c r="W111" s="16">
        <f t="shared" si="31"/>
        <v>0</v>
      </c>
      <c r="X111" s="13">
        <f t="shared" si="32"/>
        <v>0</v>
      </c>
      <c r="Y111" s="14">
        <f t="shared" si="36"/>
        <v>4.940510330799841</v>
      </c>
      <c r="Z111" s="14">
        <f t="shared" si="43"/>
        <v>0</v>
      </c>
      <c r="AA111" s="14">
        <f t="shared" si="44"/>
        <v>0</v>
      </c>
      <c r="AB111" s="14"/>
      <c r="AC111" s="14"/>
      <c r="AD111" s="14"/>
      <c r="AE111" s="8"/>
      <c r="AF111" s="14">
        <f t="shared" si="45"/>
        <v>0</v>
      </c>
      <c r="AG111" s="14">
        <f t="shared" si="46"/>
        <v>10</v>
      </c>
      <c r="AH111" s="25">
        <f t="shared" si="47"/>
        <v>0</v>
      </c>
      <c r="AI111" s="14">
        <f t="shared" si="48"/>
        <v>10</v>
      </c>
      <c r="AJ111" s="14">
        <f t="shared" si="37"/>
        <v>10.50881623495915</v>
      </c>
      <c r="AK111" s="14"/>
      <c r="AL111" s="7">
        <f t="shared" si="30"/>
        <v>45</v>
      </c>
      <c r="AM111" s="14">
        <f t="shared" si="29"/>
        <v>6.426666030339516</v>
      </c>
      <c r="AN111" s="7">
        <f t="shared" si="28"/>
        <v>5.5</v>
      </c>
      <c r="AP111" s="14"/>
      <c r="AQ111" s="14"/>
      <c r="AR111" s="14">
        <f t="shared" si="38"/>
        <v>0</v>
      </c>
      <c r="AS111" s="14">
        <f t="shared" si="33"/>
        <v>10.0062</v>
      </c>
      <c r="AT111" s="8">
        <f t="shared" si="39"/>
        <v>10.0062</v>
      </c>
      <c r="AU111" s="26">
        <f t="shared" si="34"/>
        <v>0</v>
      </c>
      <c r="AV111" s="13">
        <f t="shared" si="40"/>
        <v>0.07</v>
      </c>
      <c r="AW111" s="26">
        <f t="shared" si="41"/>
        <v>0</v>
      </c>
      <c r="AX111" s="26">
        <f t="shared" si="42"/>
        <v>0</v>
      </c>
      <c r="AY111" s="26">
        <f t="shared" si="35"/>
        <v>0</v>
      </c>
    </row>
    <row r="112" spans="22:51" ht="15.75">
      <c r="V112" s="16">
        <v>87</v>
      </c>
      <c r="W112" s="16">
        <f t="shared" si="31"/>
        <v>0</v>
      </c>
      <c r="X112" s="13">
        <f t="shared" si="32"/>
        <v>0</v>
      </c>
      <c r="Y112" s="14">
        <f t="shared" si="36"/>
        <v>4.940510330799841</v>
      </c>
      <c r="Z112" s="14">
        <f t="shared" si="43"/>
        <v>0</v>
      </c>
      <c r="AA112" s="14">
        <f t="shared" si="44"/>
        <v>0</v>
      </c>
      <c r="AB112" s="14"/>
      <c r="AC112" s="14"/>
      <c r="AD112" s="14"/>
      <c r="AE112" s="8"/>
      <c r="AF112" s="14">
        <f t="shared" si="45"/>
        <v>0</v>
      </c>
      <c r="AG112" s="14">
        <f t="shared" si="46"/>
        <v>10</v>
      </c>
      <c r="AH112" s="25">
        <f t="shared" si="47"/>
        <v>0</v>
      </c>
      <c r="AI112" s="14">
        <f t="shared" si="48"/>
        <v>10</v>
      </c>
      <c r="AJ112" s="14">
        <f t="shared" si="37"/>
        <v>10.50881623495915</v>
      </c>
      <c r="AK112" s="14"/>
      <c r="AL112" s="7">
        <f t="shared" si="30"/>
        <v>46</v>
      </c>
      <c r="AM112" s="14">
        <f t="shared" si="29"/>
        <v>6.569480831013727</v>
      </c>
      <c r="AN112" s="7">
        <f t="shared" si="28"/>
        <v>0</v>
      </c>
      <c r="AP112" s="14"/>
      <c r="AQ112" s="14"/>
      <c r="AR112" s="14">
        <f t="shared" si="38"/>
        <v>0</v>
      </c>
      <c r="AS112" s="14">
        <f t="shared" si="33"/>
        <v>10.0062</v>
      </c>
      <c r="AT112" s="8">
        <f t="shared" si="39"/>
        <v>10.0062</v>
      </c>
      <c r="AU112" s="26">
        <f t="shared" si="34"/>
        <v>0</v>
      </c>
      <c r="AV112" s="13">
        <f t="shared" si="40"/>
        <v>0.07</v>
      </c>
      <c r="AW112" s="26">
        <f t="shared" si="41"/>
        <v>0</v>
      </c>
      <c r="AX112" s="26">
        <f t="shared" si="42"/>
        <v>0</v>
      </c>
      <c r="AY112" s="26">
        <f t="shared" si="35"/>
        <v>0</v>
      </c>
    </row>
    <row r="113" spans="22:51" ht="15.75">
      <c r="V113" s="16">
        <v>88</v>
      </c>
      <c r="W113" s="16">
        <f t="shared" si="31"/>
        <v>0</v>
      </c>
      <c r="X113" s="13">
        <f t="shared" si="32"/>
        <v>0</v>
      </c>
      <c r="Y113" s="14">
        <f t="shared" si="36"/>
        <v>4.940510330799841</v>
      </c>
      <c r="Z113" s="14">
        <f t="shared" si="43"/>
        <v>0</v>
      </c>
      <c r="AA113" s="14">
        <f t="shared" si="44"/>
        <v>0</v>
      </c>
      <c r="AB113" s="14"/>
      <c r="AC113" s="14"/>
      <c r="AD113" s="14"/>
      <c r="AE113" s="8"/>
      <c r="AF113" s="14">
        <f t="shared" si="45"/>
        <v>0</v>
      </c>
      <c r="AG113" s="14">
        <f t="shared" si="46"/>
        <v>10</v>
      </c>
      <c r="AH113" s="25">
        <f t="shared" si="47"/>
        <v>0</v>
      </c>
      <c r="AI113" s="14">
        <f t="shared" si="48"/>
        <v>10</v>
      </c>
      <c r="AJ113" s="14">
        <f t="shared" si="37"/>
        <v>10.50881623495915</v>
      </c>
      <c r="AK113" s="14"/>
      <c r="AL113" s="7">
        <f t="shared" si="30"/>
        <v>46</v>
      </c>
      <c r="AM113" s="14">
        <f t="shared" si="29"/>
        <v>6.569480831013727</v>
      </c>
      <c r="AN113" s="7">
        <f t="shared" si="28"/>
        <v>5.4</v>
      </c>
      <c r="AP113" s="14"/>
      <c r="AQ113" s="14"/>
      <c r="AR113" s="14">
        <f t="shared" si="38"/>
        <v>0</v>
      </c>
      <c r="AS113" s="14">
        <f t="shared" si="33"/>
        <v>10.0062</v>
      </c>
      <c r="AT113" s="8">
        <f t="shared" si="39"/>
        <v>10.0062</v>
      </c>
      <c r="AU113" s="26">
        <f t="shared" si="34"/>
        <v>0</v>
      </c>
      <c r="AV113" s="13">
        <f t="shared" si="40"/>
        <v>0.07</v>
      </c>
      <c r="AW113" s="26">
        <f t="shared" si="41"/>
        <v>0</v>
      </c>
      <c r="AX113" s="26">
        <f t="shared" si="42"/>
        <v>0</v>
      </c>
      <c r="AY113" s="26">
        <f t="shared" si="35"/>
        <v>0</v>
      </c>
    </row>
    <row r="114" spans="22:51" ht="15.75">
      <c r="V114" s="7">
        <v>89</v>
      </c>
      <c r="W114" s="16">
        <f t="shared" si="31"/>
        <v>0</v>
      </c>
      <c r="X114" s="13">
        <f t="shared" si="32"/>
        <v>0</v>
      </c>
      <c r="Y114" s="14">
        <f t="shared" si="36"/>
        <v>4.940510330799841</v>
      </c>
      <c r="Z114" s="14">
        <f t="shared" si="43"/>
        <v>0</v>
      </c>
      <c r="AA114" s="14">
        <f t="shared" si="44"/>
        <v>0</v>
      </c>
      <c r="AB114" s="14"/>
      <c r="AC114" s="14"/>
      <c r="AD114" s="14"/>
      <c r="AE114" s="8"/>
      <c r="AF114" s="14">
        <f t="shared" si="45"/>
        <v>0</v>
      </c>
      <c r="AG114" s="14">
        <f t="shared" si="46"/>
        <v>10</v>
      </c>
      <c r="AH114" s="25">
        <f t="shared" si="47"/>
        <v>0</v>
      </c>
      <c r="AI114" s="14">
        <f t="shared" si="48"/>
        <v>10</v>
      </c>
      <c r="AJ114" s="14">
        <f t="shared" si="37"/>
        <v>10.50881623495915</v>
      </c>
      <c r="AK114" s="14"/>
      <c r="AL114" s="7">
        <f t="shared" si="30"/>
        <v>47</v>
      </c>
      <c r="AM114" s="14">
        <f t="shared" si="29"/>
        <v>6.7122956316879385</v>
      </c>
      <c r="AN114" s="7">
        <f t="shared" si="28"/>
        <v>0</v>
      </c>
      <c r="AP114" s="14"/>
      <c r="AQ114" s="14"/>
      <c r="AR114" s="14">
        <f t="shared" si="38"/>
        <v>0</v>
      </c>
      <c r="AS114" s="14">
        <f t="shared" si="33"/>
        <v>10.0062</v>
      </c>
      <c r="AT114" s="8">
        <f t="shared" si="39"/>
        <v>10.0062</v>
      </c>
      <c r="AU114" s="26">
        <f t="shared" si="34"/>
        <v>0</v>
      </c>
      <c r="AV114" s="13">
        <f t="shared" si="40"/>
        <v>0.07</v>
      </c>
      <c r="AW114" s="26">
        <f t="shared" si="41"/>
        <v>0</v>
      </c>
      <c r="AX114" s="26">
        <f t="shared" si="42"/>
        <v>0</v>
      </c>
      <c r="AY114" s="26">
        <f t="shared" si="35"/>
        <v>0</v>
      </c>
    </row>
    <row r="115" spans="22:51" ht="15.75">
      <c r="V115" s="16">
        <v>90</v>
      </c>
      <c r="W115" s="16">
        <f t="shared" si="31"/>
        <v>0</v>
      </c>
      <c r="X115" s="13">
        <f t="shared" si="32"/>
        <v>0</v>
      </c>
      <c r="Y115" s="14">
        <f t="shared" si="36"/>
        <v>4.940510330799841</v>
      </c>
      <c r="Z115" s="14">
        <f t="shared" si="43"/>
        <v>0</v>
      </c>
      <c r="AA115" s="14">
        <f t="shared" si="44"/>
        <v>0</v>
      </c>
      <c r="AB115" s="14"/>
      <c r="AC115" s="14"/>
      <c r="AD115" s="14"/>
      <c r="AE115" s="8"/>
      <c r="AF115" s="14">
        <f t="shared" si="45"/>
        <v>0</v>
      </c>
      <c r="AG115" s="14">
        <f t="shared" si="46"/>
        <v>10</v>
      </c>
      <c r="AH115" s="25">
        <f t="shared" si="47"/>
        <v>0</v>
      </c>
      <c r="AI115" s="14">
        <f t="shared" si="48"/>
        <v>10</v>
      </c>
      <c r="AJ115" s="14">
        <f t="shared" si="37"/>
        <v>10.50881623495915</v>
      </c>
      <c r="AK115" s="14"/>
      <c r="AL115" s="7">
        <f t="shared" si="30"/>
        <v>47</v>
      </c>
      <c r="AM115" s="14">
        <f t="shared" si="29"/>
        <v>6.7122956316879385</v>
      </c>
      <c r="AN115" s="7">
        <f t="shared" si="28"/>
        <v>5.3</v>
      </c>
      <c r="AP115" s="14"/>
      <c r="AQ115" s="14"/>
      <c r="AR115" s="14">
        <f t="shared" si="38"/>
        <v>0</v>
      </c>
      <c r="AS115" s="14">
        <f t="shared" si="33"/>
        <v>10.0062</v>
      </c>
      <c r="AT115" s="8">
        <f t="shared" si="39"/>
        <v>10.0062</v>
      </c>
      <c r="AU115" s="26">
        <f t="shared" si="34"/>
        <v>0</v>
      </c>
      <c r="AV115" s="13">
        <f t="shared" si="40"/>
        <v>0.07</v>
      </c>
      <c r="AW115" s="26">
        <f t="shared" si="41"/>
        <v>0</v>
      </c>
      <c r="AX115" s="26">
        <f t="shared" si="42"/>
        <v>0</v>
      </c>
      <c r="AY115" s="26">
        <f t="shared" si="35"/>
        <v>0</v>
      </c>
    </row>
    <row r="116" spans="22:51" ht="15.75">
      <c r="V116" s="16">
        <v>91</v>
      </c>
      <c r="W116" s="16">
        <f t="shared" si="31"/>
        <v>0</v>
      </c>
      <c r="X116" s="13">
        <f t="shared" si="32"/>
        <v>0</v>
      </c>
      <c r="Y116" s="14">
        <f t="shared" si="36"/>
        <v>4.940510330799841</v>
      </c>
      <c r="Z116" s="14">
        <f t="shared" si="43"/>
        <v>0</v>
      </c>
      <c r="AA116" s="14">
        <f t="shared" si="44"/>
        <v>0</v>
      </c>
      <c r="AB116" s="14"/>
      <c r="AC116" s="14"/>
      <c r="AD116" s="14"/>
      <c r="AE116" s="8"/>
      <c r="AF116" s="14">
        <f t="shared" si="45"/>
        <v>0</v>
      </c>
      <c r="AG116" s="14">
        <f t="shared" si="46"/>
        <v>10</v>
      </c>
      <c r="AH116" s="25">
        <f t="shared" si="47"/>
        <v>0</v>
      </c>
      <c r="AI116" s="14">
        <f t="shared" si="48"/>
        <v>10</v>
      </c>
      <c r="AJ116" s="14">
        <f t="shared" si="37"/>
        <v>10.50881623495915</v>
      </c>
      <c r="AK116" s="14"/>
      <c r="AL116" s="7">
        <f t="shared" si="30"/>
        <v>48</v>
      </c>
      <c r="AM116" s="14">
        <f t="shared" si="29"/>
        <v>6.8551104323621495</v>
      </c>
      <c r="AN116" s="7">
        <f t="shared" si="28"/>
        <v>0</v>
      </c>
      <c r="AP116" s="14"/>
      <c r="AQ116" s="14"/>
      <c r="AR116" s="14">
        <f t="shared" si="38"/>
        <v>0</v>
      </c>
      <c r="AS116" s="14">
        <f t="shared" si="33"/>
        <v>10.0062</v>
      </c>
      <c r="AT116" s="8">
        <f t="shared" si="39"/>
        <v>10.0062</v>
      </c>
      <c r="AU116" s="26">
        <f t="shared" si="34"/>
        <v>0</v>
      </c>
      <c r="AV116" s="13">
        <f t="shared" si="40"/>
        <v>0.07</v>
      </c>
      <c r="AW116" s="26">
        <f t="shared" si="41"/>
        <v>0</v>
      </c>
      <c r="AX116" s="26">
        <f t="shared" si="42"/>
        <v>0</v>
      </c>
      <c r="AY116" s="26">
        <f t="shared" si="35"/>
        <v>0</v>
      </c>
    </row>
    <row r="117" spans="22:51" ht="15.75">
      <c r="V117" s="7">
        <v>92</v>
      </c>
      <c r="W117" s="16">
        <f t="shared" si="31"/>
        <v>0</v>
      </c>
      <c r="X117" s="13">
        <f t="shared" si="32"/>
        <v>0</v>
      </c>
      <c r="Y117" s="14">
        <f t="shared" si="36"/>
        <v>4.940510330799841</v>
      </c>
      <c r="Z117" s="14">
        <f t="shared" si="43"/>
        <v>0</v>
      </c>
      <c r="AA117" s="14">
        <f t="shared" si="44"/>
        <v>0</v>
      </c>
      <c r="AB117" s="14"/>
      <c r="AC117" s="14"/>
      <c r="AD117" s="14"/>
      <c r="AE117" s="8"/>
      <c r="AF117" s="14">
        <f t="shared" si="45"/>
        <v>0</v>
      </c>
      <c r="AG117" s="14">
        <f t="shared" si="46"/>
        <v>10</v>
      </c>
      <c r="AH117" s="25">
        <f t="shared" si="47"/>
        <v>0</v>
      </c>
      <c r="AI117" s="14">
        <f t="shared" si="48"/>
        <v>10</v>
      </c>
      <c r="AJ117" s="14">
        <f t="shared" si="37"/>
        <v>10.50881623495915</v>
      </c>
      <c r="AK117" s="14"/>
      <c r="AL117" s="7">
        <f t="shared" si="30"/>
        <v>48</v>
      </c>
      <c r="AM117" s="14">
        <f t="shared" si="29"/>
        <v>6.8551104323621495</v>
      </c>
      <c r="AN117" s="7">
        <f t="shared" si="28"/>
        <v>5.2</v>
      </c>
      <c r="AP117" s="14"/>
      <c r="AQ117" s="14"/>
      <c r="AR117" s="14">
        <f t="shared" si="38"/>
        <v>0</v>
      </c>
      <c r="AS117" s="14">
        <f t="shared" si="33"/>
        <v>10.0062</v>
      </c>
      <c r="AT117" s="8">
        <f t="shared" si="39"/>
        <v>10.0062</v>
      </c>
      <c r="AU117" s="26">
        <f t="shared" si="34"/>
        <v>0</v>
      </c>
      <c r="AV117" s="13">
        <f t="shared" si="40"/>
        <v>0.07</v>
      </c>
      <c r="AW117" s="26">
        <f t="shared" si="41"/>
        <v>0</v>
      </c>
      <c r="AX117" s="26">
        <f t="shared" si="42"/>
        <v>0</v>
      </c>
      <c r="AY117" s="26">
        <f t="shared" si="35"/>
        <v>0</v>
      </c>
    </row>
    <row r="118" spans="22:51" ht="15.75">
      <c r="V118" s="16">
        <v>93</v>
      </c>
      <c r="W118" s="16">
        <f t="shared" si="31"/>
        <v>0</v>
      </c>
      <c r="X118" s="13">
        <f t="shared" si="32"/>
        <v>0</v>
      </c>
      <c r="Y118" s="14">
        <f t="shared" si="36"/>
        <v>4.940510330799841</v>
      </c>
      <c r="Z118" s="14">
        <f t="shared" si="43"/>
        <v>0</v>
      </c>
      <c r="AA118" s="14">
        <f t="shared" si="44"/>
        <v>0</v>
      </c>
      <c r="AB118" s="14"/>
      <c r="AC118" s="14"/>
      <c r="AD118" s="14"/>
      <c r="AE118" s="8"/>
      <c r="AF118" s="14">
        <f t="shared" si="45"/>
        <v>0</v>
      </c>
      <c r="AG118" s="14">
        <f t="shared" si="46"/>
        <v>10</v>
      </c>
      <c r="AH118" s="25">
        <f t="shared" si="47"/>
        <v>0</v>
      </c>
      <c r="AI118" s="14">
        <f t="shared" si="48"/>
        <v>10</v>
      </c>
      <c r="AJ118" s="14">
        <f t="shared" si="37"/>
        <v>10.50881623495915</v>
      </c>
      <c r="AK118" s="14"/>
      <c r="AL118" s="7">
        <f t="shared" si="30"/>
        <v>49</v>
      </c>
      <c r="AM118" s="14">
        <f t="shared" si="29"/>
        <v>6.997925233036361</v>
      </c>
      <c r="AN118" s="7">
        <f t="shared" si="28"/>
        <v>0</v>
      </c>
      <c r="AP118" s="14"/>
      <c r="AQ118" s="14"/>
      <c r="AR118" s="14">
        <f t="shared" si="38"/>
        <v>0</v>
      </c>
      <c r="AS118" s="14">
        <f t="shared" si="33"/>
        <v>10.0062</v>
      </c>
      <c r="AT118" s="8">
        <f t="shared" si="39"/>
        <v>10.0062</v>
      </c>
      <c r="AU118" s="26">
        <f t="shared" si="34"/>
        <v>0</v>
      </c>
      <c r="AV118" s="13">
        <f t="shared" si="40"/>
        <v>0.07</v>
      </c>
      <c r="AW118" s="26">
        <f t="shared" si="41"/>
        <v>0</v>
      </c>
      <c r="AX118" s="26">
        <f t="shared" si="42"/>
        <v>0</v>
      </c>
      <c r="AY118" s="26">
        <f t="shared" si="35"/>
        <v>0</v>
      </c>
    </row>
    <row r="119" spans="22:51" ht="15.75">
      <c r="V119" s="16">
        <v>94</v>
      </c>
      <c r="W119" s="16">
        <f t="shared" si="31"/>
        <v>0</v>
      </c>
      <c r="X119" s="13">
        <f t="shared" si="32"/>
        <v>0</v>
      </c>
      <c r="Y119" s="14">
        <f t="shared" si="36"/>
        <v>4.940510330799841</v>
      </c>
      <c r="Z119" s="14">
        <f t="shared" si="43"/>
        <v>0</v>
      </c>
      <c r="AA119" s="14">
        <f t="shared" si="44"/>
        <v>0</v>
      </c>
      <c r="AB119" s="14"/>
      <c r="AC119" s="14"/>
      <c r="AD119" s="14"/>
      <c r="AE119" s="8"/>
      <c r="AF119" s="14">
        <f t="shared" si="45"/>
        <v>0</v>
      </c>
      <c r="AG119" s="14">
        <f t="shared" si="46"/>
        <v>10</v>
      </c>
      <c r="AH119" s="25">
        <f t="shared" si="47"/>
        <v>0</v>
      </c>
      <c r="AI119" s="14">
        <f t="shared" si="48"/>
        <v>10</v>
      </c>
      <c r="AJ119" s="14">
        <f t="shared" si="37"/>
        <v>10.50881623495915</v>
      </c>
      <c r="AK119" s="14"/>
      <c r="AL119" s="7">
        <f t="shared" si="30"/>
        <v>49</v>
      </c>
      <c r="AM119" s="14">
        <f t="shared" si="29"/>
        <v>6.997925233036361</v>
      </c>
      <c r="AN119" s="7">
        <f t="shared" si="28"/>
        <v>5.1000000000000005</v>
      </c>
      <c r="AP119" s="14"/>
      <c r="AQ119" s="14"/>
      <c r="AR119" s="14">
        <f t="shared" si="38"/>
        <v>0</v>
      </c>
      <c r="AS119" s="14">
        <f t="shared" si="33"/>
        <v>10.0062</v>
      </c>
      <c r="AT119" s="8">
        <f t="shared" si="39"/>
        <v>10.0062</v>
      </c>
      <c r="AU119" s="26">
        <f t="shared" si="34"/>
        <v>0</v>
      </c>
      <c r="AV119" s="13">
        <f t="shared" si="40"/>
        <v>0.07</v>
      </c>
      <c r="AW119" s="26">
        <f t="shared" si="41"/>
        <v>0</v>
      </c>
      <c r="AX119" s="26">
        <f t="shared" si="42"/>
        <v>0</v>
      </c>
      <c r="AY119" s="26">
        <f t="shared" si="35"/>
        <v>0</v>
      </c>
    </row>
    <row r="120" spans="22:51" ht="15.75">
      <c r="V120" s="7">
        <v>95</v>
      </c>
      <c r="W120" s="16">
        <f t="shared" si="31"/>
        <v>0</v>
      </c>
      <c r="X120" s="13">
        <f t="shared" si="32"/>
        <v>0</v>
      </c>
      <c r="Y120" s="14">
        <f t="shared" si="36"/>
        <v>4.940510330799841</v>
      </c>
      <c r="Z120" s="14">
        <f t="shared" si="43"/>
        <v>0</v>
      </c>
      <c r="AA120" s="14">
        <f t="shared" si="44"/>
        <v>0</v>
      </c>
      <c r="AB120" s="14"/>
      <c r="AC120" s="14"/>
      <c r="AD120" s="14"/>
      <c r="AE120" s="8"/>
      <c r="AF120" s="14">
        <f t="shared" si="45"/>
        <v>0</v>
      </c>
      <c r="AG120" s="14">
        <f t="shared" si="46"/>
        <v>10</v>
      </c>
      <c r="AH120" s="25">
        <f t="shared" si="47"/>
        <v>0</v>
      </c>
      <c r="AI120" s="14">
        <f t="shared" si="48"/>
        <v>10</v>
      </c>
      <c r="AJ120" s="14">
        <f t="shared" si="37"/>
        <v>10.50881623495915</v>
      </c>
      <c r="AK120" s="14"/>
      <c r="AL120" s="7">
        <f t="shared" si="30"/>
        <v>50</v>
      </c>
      <c r="AM120" s="14">
        <f t="shared" si="29"/>
        <v>7.140740033710573</v>
      </c>
      <c r="AN120" s="7">
        <f t="shared" si="28"/>
        <v>0</v>
      </c>
      <c r="AP120" s="14"/>
      <c r="AQ120" s="14"/>
      <c r="AR120" s="14">
        <f t="shared" si="38"/>
        <v>0</v>
      </c>
      <c r="AS120" s="14">
        <f t="shared" si="33"/>
        <v>10.0062</v>
      </c>
      <c r="AT120" s="8">
        <f t="shared" si="39"/>
        <v>10.0062</v>
      </c>
      <c r="AU120" s="26">
        <f t="shared" si="34"/>
        <v>0</v>
      </c>
      <c r="AV120" s="13">
        <f t="shared" si="40"/>
        <v>0.07</v>
      </c>
      <c r="AW120" s="26">
        <f t="shared" si="41"/>
        <v>0</v>
      </c>
      <c r="AX120" s="26">
        <f t="shared" si="42"/>
        <v>0</v>
      </c>
      <c r="AY120" s="26">
        <f t="shared" si="35"/>
        <v>0</v>
      </c>
    </row>
    <row r="121" spans="22:51" ht="15.75">
      <c r="V121" s="16">
        <v>96</v>
      </c>
      <c r="W121" s="16">
        <f>MIN(V121,$P$5)</f>
        <v>0</v>
      </c>
      <c r="X121" s="13">
        <f>W121*$W$23</f>
        <v>0</v>
      </c>
      <c r="Y121" s="14">
        <f t="shared" si="36"/>
        <v>4.940510330799841</v>
      </c>
      <c r="Z121" s="14">
        <f t="shared" si="43"/>
        <v>0</v>
      </c>
      <c r="AA121" s="14">
        <f t="shared" si="44"/>
        <v>0</v>
      </c>
      <c r="AB121" s="14"/>
      <c r="AC121" s="14"/>
      <c r="AD121" s="14"/>
      <c r="AE121" s="8"/>
      <c r="AF121" s="14">
        <f t="shared" si="45"/>
        <v>0</v>
      </c>
      <c r="AG121" s="14">
        <f t="shared" si="46"/>
        <v>10</v>
      </c>
      <c r="AH121" s="25">
        <f t="shared" si="47"/>
        <v>0</v>
      </c>
      <c r="AI121" s="14">
        <f t="shared" si="48"/>
        <v>10</v>
      </c>
      <c r="AJ121" s="14">
        <f t="shared" si="37"/>
        <v>10.50881623495915</v>
      </c>
      <c r="AK121" s="14"/>
      <c r="AL121" s="7">
        <f t="shared" si="30"/>
        <v>50</v>
      </c>
      <c r="AM121" s="14">
        <f t="shared" si="29"/>
        <v>7.140740033710573</v>
      </c>
      <c r="AN121" s="7">
        <f t="shared" si="28"/>
        <v>5</v>
      </c>
      <c r="AP121" s="14"/>
      <c r="AQ121" s="14"/>
      <c r="AR121" s="14">
        <f t="shared" si="38"/>
        <v>0</v>
      </c>
      <c r="AS121" s="14">
        <f t="shared" si="33"/>
        <v>10.0062</v>
      </c>
      <c r="AT121" s="8">
        <f t="shared" si="39"/>
        <v>10.0062</v>
      </c>
      <c r="AU121" s="26">
        <f t="shared" si="34"/>
        <v>0</v>
      </c>
      <c r="AV121" s="13">
        <f t="shared" si="40"/>
        <v>0.07</v>
      </c>
      <c r="AW121" s="26">
        <f t="shared" si="41"/>
        <v>0</v>
      </c>
      <c r="AX121" s="26">
        <f t="shared" si="42"/>
        <v>0</v>
      </c>
      <c r="AY121" s="26">
        <f t="shared" si="35"/>
        <v>0</v>
      </c>
    </row>
    <row r="122" spans="22:51" ht="15.75">
      <c r="V122" s="16">
        <v>97</v>
      </c>
      <c r="W122" s="16">
        <f>MIN(V122,$P$5)</f>
        <v>0</v>
      </c>
      <c r="X122" s="13">
        <f>W122*$W$23</f>
        <v>0</v>
      </c>
      <c r="Y122" s="14">
        <f t="shared" si="36"/>
        <v>4.940510330799841</v>
      </c>
      <c r="Z122" s="14">
        <f t="shared" si="43"/>
        <v>0</v>
      </c>
      <c r="AA122" s="14">
        <f t="shared" si="44"/>
        <v>0</v>
      </c>
      <c r="AB122" s="14"/>
      <c r="AC122" s="14"/>
      <c r="AD122" s="14"/>
      <c r="AE122" s="8"/>
      <c r="AF122" s="14">
        <f t="shared" si="45"/>
        <v>0</v>
      </c>
      <c r="AG122" s="14">
        <f t="shared" si="46"/>
        <v>10</v>
      </c>
      <c r="AH122" s="25">
        <f t="shared" si="47"/>
        <v>0</v>
      </c>
      <c r="AI122" s="14">
        <f t="shared" si="48"/>
        <v>10</v>
      </c>
      <c r="AJ122" s="14">
        <f t="shared" si="37"/>
        <v>10.50881623495915</v>
      </c>
      <c r="AK122" s="14"/>
      <c r="AL122" s="7">
        <f t="shared" si="30"/>
        <v>51</v>
      </c>
      <c r="AM122" s="14">
        <f t="shared" si="29"/>
        <v>7.283554834384784</v>
      </c>
      <c r="AN122" s="7">
        <f t="shared" si="28"/>
        <v>0</v>
      </c>
      <c r="AP122" s="14"/>
      <c r="AQ122" s="14"/>
      <c r="AR122" s="14">
        <f t="shared" si="38"/>
        <v>0</v>
      </c>
      <c r="AS122" s="14">
        <f t="shared" si="33"/>
        <v>10.0062</v>
      </c>
      <c r="AT122" s="8">
        <f t="shared" si="39"/>
        <v>10.0062</v>
      </c>
      <c r="AU122" s="26">
        <f t="shared" si="34"/>
        <v>0</v>
      </c>
      <c r="AV122" s="13">
        <f t="shared" si="40"/>
        <v>0.07</v>
      </c>
      <c r="AW122" s="26">
        <f t="shared" si="41"/>
        <v>0</v>
      </c>
      <c r="AX122" s="26">
        <f>AX121+AV122*AW122</f>
        <v>0</v>
      </c>
      <c r="AY122" s="26">
        <f t="shared" si="35"/>
        <v>0</v>
      </c>
    </row>
    <row r="123" spans="22:51" ht="15.75">
      <c r="V123" s="7">
        <v>98</v>
      </c>
      <c r="W123" s="16">
        <f>MIN(V123,$P$5)</f>
        <v>0</v>
      </c>
      <c r="X123" s="13">
        <f>W123*$W$23</f>
        <v>0</v>
      </c>
      <c r="Y123" s="14">
        <f t="shared" si="36"/>
        <v>4.940510330799841</v>
      </c>
      <c r="Z123" s="14">
        <f t="shared" si="43"/>
        <v>0</v>
      </c>
      <c r="AA123" s="14">
        <f t="shared" si="44"/>
        <v>0</v>
      </c>
      <c r="AB123" s="14"/>
      <c r="AC123" s="14"/>
      <c r="AD123" s="14"/>
      <c r="AE123" s="8"/>
      <c r="AF123" s="14">
        <f t="shared" si="45"/>
        <v>0</v>
      </c>
      <c r="AG123" s="14">
        <f t="shared" si="46"/>
        <v>10</v>
      </c>
      <c r="AH123" s="25">
        <f t="shared" si="47"/>
        <v>0</v>
      </c>
      <c r="AI123" s="14">
        <f t="shared" si="48"/>
        <v>10</v>
      </c>
      <c r="AJ123" s="14">
        <f t="shared" si="37"/>
        <v>10.50881623495915</v>
      </c>
      <c r="AK123" s="14"/>
      <c r="AL123" s="7">
        <f t="shared" si="30"/>
        <v>51</v>
      </c>
      <c r="AM123" s="14">
        <f t="shared" si="29"/>
        <v>7.283554834384784</v>
      </c>
      <c r="AN123" s="7">
        <f t="shared" si="28"/>
        <v>4.9</v>
      </c>
      <c r="AP123" s="14"/>
      <c r="AQ123" s="14"/>
      <c r="AR123" s="14">
        <f t="shared" si="38"/>
        <v>0</v>
      </c>
      <c r="AS123" s="14">
        <f t="shared" si="33"/>
        <v>10.0062</v>
      </c>
      <c r="AT123" s="8">
        <f t="shared" si="39"/>
        <v>10.0062</v>
      </c>
      <c r="AU123" s="26">
        <f t="shared" si="34"/>
        <v>0</v>
      </c>
      <c r="AV123" s="13">
        <f t="shared" si="40"/>
        <v>0.07</v>
      </c>
      <c r="AW123" s="26">
        <f t="shared" si="41"/>
        <v>0</v>
      </c>
      <c r="AX123" s="26">
        <f>AX122+AV123*AW123</f>
        <v>0</v>
      </c>
      <c r="AY123" s="26">
        <f t="shared" si="35"/>
        <v>0</v>
      </c>
    </row>
    <row r="124" spans="22:51" ht="15.75">
      <c r="V124" s="16">
        <v>99</v>
      </c>
      <c r="W124" s="16">
        <f>MIN(V124,$P$5)</f>
        <v>0</v>
      </c>
      <c r="X124" s="13">
        <f>W124*$W$23</f>
        <v>0</v>
      </c>
      <c r="Y124" s="14">
        <f t="shared" si="36"/>
        <v>4.940510330799841</v>
      </c>
      <c r="Z124" s="14">
        <f t="shared" si="43"/>
        <v>0</v>
      </c>
      <c r="AA124" s="14">
        <f t="shared" si="44"/>
        <v>0</v>
      </c>
      <c r="AB124" s="14"/>
      <c r="AC124" s="14"/>
      <c r="AD124" s="14"/>
      <c r="AE124" s="8"/>
      <c r="AF124" s="14">
        <f t="shared" si="45"/>
        <v>0</v>
      </c>
      <c r="AG124" s="14">
        <f t="shared" si="46"/>
        <v>10</v>
      </c>
      <c r="AH124" s="25">
        <f t="shared" si="47"/>
        <v>0</v>
      </c>
      <c r="AI124" s="14">
        <f t="shared" si="48"/>
        <v>10</v>
      </c>
      <c r="AJ124" s="14">
        <f t="shared" si="37"/>
        <v>10.50881623495915</v>
      </c>
      <c r="AK124" s="14"/>
      <c r="AL124" s="7">
        <f t="shared" si="30"/>
        <v>52</v>
      </c>
      <c r="AM124" s="14">
        <f t="shared" si="29"/>
        <v>7.426369635058996</v>
      </c>
      <c r="AN124" s="7">
        <f t="shared" si="28"/>
        <v>0</v>
      </c>
      <c r="AP124" s="14"/>
      <c r="AQ124" s="14"/>
      <c r="AR124" s="14">
        <f t="shared" si="38"/>
        <v>0</v>
      </c>
      <c r="AS124" s="14">
        <f t="shared" si="33"/>
        <v>10.0062</v>
      </c>
      <c r="AT124" s="8">
        <f t="shared" si="39"/>
        <v>10.0062</v>
      </c>
      <c r="AU124" s="26">
        <f t="shared" si="34"/>
        <v>0</v>
      </c>
      <c r="AV124" s="13">
        <f t="shared" si="40"/>
        <v>0.07</v>
      </c>
      <c r="AW124" s="26">
        <f t="shared" si="41"/>
        <v>0</v>
      </c>
      <c r="AX124" s="26">
        <f>AX123+AV124*AW124</f>
        <v>0</v>
      </c>
      <c r="AY124" s="26">
        <f t="shared" si="35"/>
        <v>0</v>
      </c>
    </row>
    <row r="125" spans="22:51" ht="15.75">
      <c r="V125" s="16">
        <v>100</v>
      </c>
      <c r="W125" s="16">
        <f>MIN(V125,$P$5)</f>
        <v>0</v>
      </c>
      <c r="X125" s="13">
        <f>W125*$W$23</f>
        <v>0</v>
      </c>
      <c r="Y125" s="14">
        <f t="shared" si="36"/>
        <v>4.940510330799841</v>
      </c>
      <c r="Z125" s="14">
        <f t="shared" si="43"/>
        <v>0</v>
      </c>
      <c r="AA125" s="14">
        <f t="shared" si="44"/>
        <v>0</v>
      </c>
      <c r="AB125" s="14"/>
      <c r="AC125" s="14"/>
      <c r="AD125" s="14"/>
      <c r="AE125" s="8"/>
      <c r="AF125" s="14">
        <f t="shared" si="45"/>
        <v>0</v>
      </c>
      <c r="AG125" s="14">
        <f t="shared" si="46"/>
        <v>10</v>
      </c>
      <c r="AH125" s="25">
        <f t="shared" si="47"/>
        <v>0</v>
      </c>
      <c r="AI125" s="14">
        <f t="shared" si="48"/>
        <v>10</v>
      </c>
      <c r="AJ125" s="14">
        <f t="shared" si="37"/>
        <v>10.50881623495915</v>
      </c>
      <c r="AK125" s="14"/>
      <c r="AL125" s="7">
        <f t="shared" si="30"/>
        <v>52</v>
      </c>
      <c r="AM125" s="14">
        <f t="shared" si="29"/>
        <v>7.426369635058996</v>
      </c>
      <c r="AN125" s="7">
        <f t="shared" si="28"/>
        <v>4.8</v>
      </c>
      <c r="AP125" s="14"/>
      <c r="AQ125" s="14"/>
      <c r="AR125" s="14">
        <f t="shared" si="38"/>
        <v>0</v>
      </c>
      <c r="AS125" s="14">
        <f t="shared" si="33"/>
        <v>10.0062</v>
      </c>
      <c r="AT125" s="8">
        <f t="shared" si="39"/>
        <v>10.0062</v>
      </c>
      <c r="AU125" s="26">
        <f t="shared" si="34"/>
        <v>0</v>
      </c>
      <c r="AV125" s="13">
        <f t="shared" si="40"/>
        <v>0.07</v>
      </c>
      <c r="AW125" s="26">
        <f t="shared" si="41"/>
        <v>0</v>
      </c>
      <c r="AX125" s="26">
        <f>AX124+AV125*AW125</f>
        <v>0</v>
      </c>
      <c r="AY125" s="26">
        <f t="shared" si="35"/>
        <v>0</v>
      </c>
    </row>
    <row r="126" spans="22:43" ht="15.75">
      <c r="V126" s="16"/>
      <c r="W126" s="16"/>
      <c r="X126" s="14"/>
      <c r="Y126" s="14"/>
      <c r="Z126" s="14"/>
      <c r="AA126" s="14"/>
      <c r="AB126" s="14"/>
      <c r="AC126" s="14"/>
      <c r="AD126" s="14"/>
      <c r="AE126" s="16"/>
      <c r="AF126" s="14"/>
      <c r="AG126" s="14"/>
      <c r="AH126" s="25"/>
      <c r="AI126" s="14"/>
      <c r="AJ126" s="14"/>
      <c r="AK126" s="14"/>
      <c r="AL126" s="7">
        <f t="shared" si="30"/>
        <v>53</v>
      </c>
      <c r="AM126" s="14">
        <f t="shared" si="29"/>
        <v>7.569184435733207</v>
      </c>
      <c r="AN126" s="7">
        <f t="shared" si="28"/>
        <v>0</v>
      </c>
      <c r="AP126" s="14"/>
      <c r="AQ126" s="14"/>
    </row>
    <row r="127" spans="22:43" ht="15.75">
      <c r="V127" s="16"/>
      <c r="W127" s="16"/>
      <c r="X127" s="14"/>
      <c r="Y127" s="14"/>
      <c r="Z127" s="14"/>
      <c r="AA127" s="14"/>
      <c r="AB127" s="14"/>
      <c r="AC127" s="14"/>
      <c r="AD127" s="14"/>
      <c r="AE127" s="16"/>
      <c r="AF127" s="14"/>
      <c r="AG127" s="14"/>
      <c r="AH127" s="25"/>
      <c r="AI127" s="14"/>
      <c r="AJ127" s="14"/>
      <c r="AK127" s="14"/>
      <c r="AL127" s="7">
        <f t="shared" si="30"/>
        <v>53</v>
      </c>
      <c r="AM127" s="14">
        <f t="shared" si="29"/>
        <v>7.569184435733207</v>
      </c>
      <c r="AN127" s="7">
        <f t="shared" si="28"/>
        <v>4.7</v>
      </c>
      <c r="AP127" s="14"/>
      <c r="AQ127" s="14"/>
    </row>
    <row r="128" spans="22:43" ht="15.75">
      <c r="V128" s="16"/>
      <c r="W128" s="16"/>
      <c r="X128" s="14"/>
      <c r="Y128" s="14"/>
      <c r="Z128" s="14"/>
      <c r="AA128" s="14"/>
      <c r="AB128" s="14"/>
      <c r="AC128" s="14"/>
      <c r="AD128" s="14"/>
      <c r="AE128" s="16"/>
      <c r="AF128" s="14"/>
      <c r="AG128" s="14"/>
      <c r="AH128" s="25"/>
      <c r="AI128" s="14"/>
      <c r="AJ128" s="14"/>
      <c r="AK128" s="14"/>
      <c r="AL128" s="7">
        <f t="shared" si="30"/>
        <v>54</v>
      </c>
      <c r="AM128" s="14">
        <f t="shared" si="29"/>
        <v>7.711999236407419</v>
      </c>
      <c r="AN128" s="7">
        <f t="shared" si="28"/>
        <v>0</v>
      </c>
      <c r="AP128" s="14"/>
      <c r="AQ128" s="14"/>
    </row>
    <row r="129" spans="22:43" ht="15.75">
      <c r="V129" s="16"/>
      <c r="W129" s="16"/>
      <c r="X129" s="14"/>
      <c r="Y129" s="14"/>
      <c r="Z129" s="14"/>
      <c r="AA129" s="14"/>
      <c r="AB129" s="14"/>
      <c r="AC129" s="14"/>
      <c r="AD129" s="14"/>
      <c r="AE129" s="16"/>
      <c r="AF129" s="14"/>
      <c r="AG129" s="14"/>
      <c r="AH129" s="25"/>
      <c r="AI129" s="14"/>
      <c r="AJ129" s="14"/>
      <c r="AK129" s="14"/>
      <c r="AL129" s="7">
        <f t="shared" si="30"/>
        <v>54</v>
      </c>
      <c r="AM129" s="14">
        <f t="shared" si="29"/>
        <v>7.711999236407419</v>
      </c>
      <c r="AN129" s="7">
        <f t="shared" si="28"/>
        <v>4.6000000000000005</v>
      </c>
      <c r="AP129" s="14"/>
      <c r="AQ129" s="14"/>
    </row>
    <row r="130" spans="22:43" ht="15.75">
      <c r="V130" s="16"/>
      <c r="W130" s="16"/>
      <c r="X130" s="14"/>
      <c r="Y130" s="14"/>
      <c r="Z130" s="14"/>
      <c r="AA130" s="14"/>
      <c r="AB130" s="14"/>
      <c r="AC130" s="14"/>
      <c r="AD130" s="14"/>
      <c r="AE130" s="16"/>
      <c r="AF130" s="14"/>
      <c r="AG130" s="14"/>
      <c r="AH130" s="25"/>
      <c r="AI130" s="14"/>
      <c r="AJ130" s="14"/>
      <c r="AK130" s="14"/>
      <c r="AL130" s="7">
        <f t="shared" si="30"/>
        <v>55</v>
      </c>
      <c r="AM130" s="14">
        <f t="shared" si="29"/>
        <v>7.85481403708163</v>
      </c>
      <c r="AN130" s="7">
        <f t="shared" si="28"/>
        <v>0</v>
      </c>
      <c r="AP130" s="14"/>
      <c r="AQ130" s="14"/>
    </row>
    <row r="131" spans="22:43" ht="15.75">
      <c r="V131" s="16"/>
      <c r="W131" s="16"/>
      <c r="X131" s="14"/>
      <c r="Y131" s="14"/>
      <c r="Z131" s="14"/>
      <c r="AA131" s="14"/>
      <c r="AB131" s="14"/>
      <c r="AC131" s="14"/>
      <c r="AD131" s="14"/>
      <c r="AE131" s="16"/>
      <c r="AF131" s="14"/>
      <c r="AG131" s="14"/>
      <c r="AH131" s="25"/>
      <c r="AI131" s="14"/>
      <c r="AJ131" s="14"/>
      <c r="AK131" s="14"/>
      <c r="AL131" s="7">
        <f t="shared" si="30"/>
        <v>55</v>
      </c>
      <c r="AM131" s="14">
        <f t="shared" si="29"/>
        <v>7.85481403708163</v>
      </c>
      <c r="AN131" s="7">
        <f t="shared" si="28"/>
        <v>4.5</v>
      </c>
      <c r="AP131" s="14"/>
      <c r="AQ131" s="14"/>
    </row>
    <row r="132" spans="22:43" ht="15.75">
      <c r="V132" s="16"/>
      <c r="W132" s="16"/>
      <c r="X132" s="14"/>
      <c r="Y132" s="14"/>
      <c r="Z132" s="14"/>
      <c r="AA132" s="14"/>
      <c r="AB132" s="14"/>
      <c r="AC132" s="14"/>
      <c r="AD132" s="14"/>
      <c r="AE132" s="16"/>
      <c r="AF132" s="14"/>
      <c r="AG132" s="14"/>
      <c r="AH132" s="25"/>
      <c r="AI132" s="14"/>
      <c r="AJ132" s="14"/>
      <c r="AK132" s="14"/>
      <c r="AL132" s="7">
        <f t="shared" si="30"/>
        <v>56</v>
      </c>
      <c r="AM132" s="14">
        <f t="shared" si="29"/>
        <v>7.997628837755841</v>
      </c>
      <c r="AN132" s="7">
        <f t="shared" si="28"/>
        <v>0</v>
      </c>
      <c r="AP132" s="14"/>
      <c r="AQ132" s="14"/>
    </row>
    <row r="133" spans="22:43" ht="15.75">
      <c r="V133" s="16"/>
      <c r="W133" s="16"/>
      <c r="X133" s="14"/>
      <c r="Y133" s="14"/>
      <c r="Z133" s="14"/>
      <c r="AA133" s="14"/>
      <c r="AB133" s="14"/>
      <c r="AC133" s="14"/>
      <c r="AD133" s="14"/>
      <c r="AE133" s="16"/>
      <c r="AF133" s="14"/>
      <c r="AG133" s="14"/>
      <c r="AH133" s="25"/>
      <c r="AI133" s="14"/>
      <c r="AJ133" s="14"/>
      <c r="AK133" s="14"/>
      <c r="AL133" s="7">
        <f t="shared" si="30"/>
        <v>56</v>
      </c>
      <c r="AM133" s="14">
        <f t="shared" si="29"/>
        <v>7.997628837755841</v>
      </c>
      <c r="AN133" s="7">
        <f t="shared" si="28"/>
        <v>4.4</v>
      </c>
      <c r="AP133" s="14"/>
      <c r="AQ133" s="14"/>
    </row>
    <row r="134" spans="22:43" ht="15.75">
      <c r="V134" s="16"/>
      <c r="W134" s="16"/>
      <c r="X134" s="14"/>
      <c r="Y134" s="14"/>
      <c r="Z134" s="14"/>
      <c r="AA134" s="14"/>
      <c r="AB134" s="14"/>
      <c r="AC134" s="14"/>
      <c r="AD134" s="14"/>
      <c r="AE134" s="16"/>
      <c r="AF134" s="14"/>
      <c r="AG134" s="14"/>
      <c r="AH134" s="25"/>
      <c r="AI134" s="14"/>
      <c r="AJ134" s="14"/>
      <c r="AK134" s="14"/>
      <c r="AL134" s="7">
        <f t="shared" si="30"/>
        <v>57</v>
      </c>
      <c r="AM134" s="14">
        <f t="shared" si="29"/>
        <v>8.140443638430053</v>
      </c>
      <c r="AN134" s="7">
        <f t="shared" si="28"/>
        <v>0</v>
      </c>
      <c r="AP134" s="14"/>
      <c r="AQ134" s="14"/>
    </row>
    <row r="135" spans="22:43" ht="15.75">
      <c r="V135" s="16"/>
      <c r="W135" s="16"/>
      <c r="X135" s="14"/>
      <c r="Y135" s="14"/>
      <c r="Z135" s="14"/>
      <c r="AA135" s="14"/>
      <c r="AB135" s="14"/>
      <c r="AC135" s="14"/>
      <c r="AD135" s="14"/>
      <c r="AE135" s="16"/>
      <c r="AF135" s="14"/>
      <c r="AG135" s="14"/>
      <c r="AH135" s="25"/>
      <c r="AI135" s="14"/>
      <c r="AJ135" s="14"/>
      <c r="AK135" s="14"/>
      <c r="AL135" s="7">
        <f t="shared" si="30"/>
        <v>57</v>
      </c>
      <c r="AM135" s="14">
        <f t="shared" si="29"/>
        <v>8.140443638430053</v>
      </c>
      <c r="AN135" s="7">
        <f t="shared" si="28"/>
        <v>4.3</v>
      </c>
      <c r="AP135" s="14"/>
      <c r="AQ135" s="14"/>
    </row>
    <row r="136" spans="22:43" ht="15.75">
      <c r="V136" s="16"/>
      <c r="W136" s="16"/>
      <c r="X136" s="14"/>
      <c r="Y136" s="14"/>
      <c r="Z136" s="14"/>
      <c r="AA136" s="14"/>
      <c r="AB136" s="14"/>
      <c r="AC136" s="14"/>
      <c r="AD136" s="14"/>
      <c r="AE136" s="16"/>
      <c r="AF136" s="14"/>
      <c r="AG136" s="14"/>
      <c r="AH136" s="25"/>
      <c r="AI136" s="14"/>
      <c r="AJ136" s="14"/>
      <c r="AK136" s="14"/>
      <c r="AL136" s="7">
        <f t="shared" si="30"/>
        <v>58</v>
      </c>
      <c r="AM136" s="14">
        <f t="shared" si="29"/>
        <v>8.283258439104264</v>
      </c>
      <c r="AN136" s="7">
        <f t="shared" si="28"/>
        <v>0</v>
      </c>
      <c r="AP136" s="14"/>
      <c r="AQ136" s="14"/>
    </row>
    <row r="137" spans="22:43" ht="15.75">
      <c r="V137" s="16"/>
      <c r="W137" s="16"/>
      <c r="X137" s="14"/>
      <c r="Y137" s="14"/>
      <c r="Z137" s="14"/>
      <c r="AA137" s="14"/>
      <c r="AB137" s="14"/>
      <c r="AC137" s="14"/>
      <c r="AD137" s="14"/>
      <c r="AE137" s="16"/>
      <c r="AF137" s="14"/>
      <c r="AG137" s="14"/>
      <c r="AH137" s="25"/>
      <c r="AI137" s="14"/>
      <c r="AJ137" s="14"/>
      <c r="AK137" s="14"/>
      <c r="AL137" s="7">
        <f t="shared" si="30"/>
        <v>58</v>
      </c>
      <c r="AM137" s="14">
        <f t="shared" si="29"/>
        <v>8.283258439104264</v>
      </c>
      <c r="AN137" s="7">
        <f t="shared" si="28"/>
        <v>4.2</v>
      </c>
      <c r="AP137" s="14"/>
      <c r="AQ137" s="14"/>
    </row>
    <row r="138" spans="22:43" ht="15.75">
      <c r="V138" s="16"/>
      <c r="W138" s="16"/>
      <c r="X138" s="14"/>
      <c r="Y138" s="14"/>
      <c r="Z138" s="14"/>
      <c r="AA138" s="14"/>
      <c r="AB138" s="14"/>
      <c r="AC138" s="14"/>
      <c r="AD138" s="14"/>
      <c r="AE138" s="16"/>
      <c r="AF138" s="14"/>
      <c r="AG138" s="14"/>
      <c r="AH138" s="25"/>
      <c r="AI138" s="14"/>
      <c r="AJ138" s="14"/>
      <c r="AK138" s="14"/>
      <c r="AL138" s="7">
        <f t="shared" si="30"/>
        <v>59</v>
      </c>
      <c r="AM138" s="14">
        <f t="shared" si="29"/>
        <v>8.426073239778477</v>
      </c>
      <c r="AN138" s="7">
        <f t="shared" si="28"/>
        <v>0</v>
      </c>
      <c r="AP138" s="14"/>
      <c r="AQ138" s="14"/>
    </row>
    <row r="139" spans="22:43" ht="15.75">
      <c r="V139" s="16"/>
      <c r="W139" s="16"/>
      <c r="X139" s="14"/>
      <c r="Y139" s="14"/>
      <c r="Z139" s="14"/>
      <c r="AA139" s="14"/>
      <c r="AB139" s="14"/>
      <c r="AC139" s="14"/>
      <c r="AD139" s="14"/>
      <c r="AE139" s="16"/>
      <c r="AF139" s="14"/>
      <c r="AG139" s="14"/>
      <c r="AH139" s="25"/>
      <c r="AI139" s="14"/>
      <c r="AJ139" s="14"/>
      <c r="AK139" s="14"/>
      <c r="AL139" s="7">
        <f t="shared" si="30"/>
        <v>59</v>
      </c>
      <c r="AM139" s="14">
        <f t="shared" si="29"/>
        <v>8.426073239778477</v>
      </c>
      <c r="AN139" s="7">
        <f t="shared" si="28"/>
        <v>4.1</v>
      </c>
      <c r="AP139" s="14"/>
      <c r="AQ139" s="14"/>
    </row>
    <row r="140" spans="22:43" ht="15.75">
      <c r="V140" s="16"/>
      <c r="W140" s="16"/>
      <c r="X140" s="14"/>
      <c r="Y140" s="14"/>
      <c r="Z140" s="14"/>
      <c r="AA140" s="14"/>
      <c r="AB140" s="14"/>
      <c r="AC140" s="14"/>
      <c r="AD140" s="14"/>
      <c r="AE140" s="16"/>
      <c r="AF140" s="14"/>
      <c r="AG140" s="14"/>
      <c r="AH140" s="25"/>
      <c r="AI140" s="14"/>
      <c r="AJ140" s="14"/>
      <c r="AK140" s="14"/>
      <c r="AL140" s="7">
        <f t="shared" si="30"/>
        <v>60</v>
      </c>
      <c r="AM140" s="14">
        <f t="shared" si="29"/>
        <v>8.568888040452688</v>
      </c>
      <c r="AN140" s="7">
        <f t="shared" si="28"/>
        <v>0</v>
      </c>
      <c r="AP140" s="14"/>
      <c r="AQ140" s="14"/>
    </row>
    <row r="141" spans="22:43" ht="15.75">
      <c r="V141" s="16"/>
      <c r="W141" s="16"/>
      <c r="X141" s="14"/>
      <c r="Y141" s="14"/>
      <c r="Z141" s="14"/>
      <c r="AA141" s="14"/>
      <c r="AB141" s="14"/>
      <c r="AC141" s="14"/>
      <c r="AD141" s="14"/>
      <c r="AE141" s="16"/>
      <c r="AF141" s="14"/>
      <c r="AG141" s="14"/>
      <c r="AH141" s="25"/>
      <c r="AI141" s="14"/>
      <c r="AJ141" s="14"/>
      <c r="AK141" s="14"/>
      <c r="AL141" s="7">
        <f t="shared" si="30"/>
        <v>60</v>
      </c>
      <c r="AM141" s="14">
        <f t="shared" si="29"/>
        <v>8.568888040452688</v>
      </c>
      <c r="AN141" s="7">
        <f t="shared" si="28"/>
        <v>4</v>
      </c>
      <c r="AP141" s="14"/>
      <c r="AQ141" s="14"/>
    </row>
    <row r="142" spans="22:40" ht="15.75">
      <c r="V142" s="16"/>
      <c r="W142" s="16"/>
      <c r="X142" s="14"/>
      <c r="Y142" s="14"/>
      <c r="Z142" s="14"/>
      <c r="AA142" s="14"/>
      <c r="AB142" s="14"/>
      <c r="AC142" s="14"/>
      <c r="AD142" s="14"/>
      <c r="AE142" s="16"/>
      <c r="AF142" s="14"/>
      <c r="AG142" s="14"/>
      <c r="AH142" s="25"/>
      <c r="AI142" s="14"/>
      <c r="AJ142" s="14"/>
      <c r="AK142" s="14"/>
      <c r="AL142" s="7">
        <f t="shared" si="30"/>
        <v>61</v>
      </c>
      <c r="AM142" s="14">
        <f t="shared" si="29"/>
        <v>8.711702841126899</v>
      </c>
      <c r="AN142" s="7">
        <f t="shared" si="28"/>
        <v>0</v>
      </c>
    </row>
    <row r="143" spans="22:40" ht="15.75">
      <c r="V143" s="16"/>
      <c r="W143" s="16"/>
      <c r="X143" s="14"/>
      <c r="Y143" s="14"/>
      <c r="Z143" s="14"/>
      <c r="AA143" s="14"/>
      <c r="AB143" s="14"/>
      <c r="AC143" s="14"/>
      <c r="AD143" s="14"/>
      <c r="AE143" s="16"/>
      <c r="AF143" s="14"/>
      <c r="AG143" s="14"/>
      <c r="AH143" s="25"/>
      <c r="AI143" s="14"/>
      <c r="AJ143" s="14"/>
      <c r="AK143" s="14"/>
      <c r="AL143" s="7">
        <f t="shared" si="30"/>
        <v>61</v>
      </c>
      <c r="AM143" s="14">
        <f t="shared" si="29"/>
        <v>8.711702841126899</v>
      </c>
      <c r="AN143" s="7">
        <f aca="true" t="shared" si="49" ref="AN143:AN206">IF(AL143&lt;AL144,$AM$9-TAN($AM$11)*AM143,0)</f>
        <v>3.9000000000000004</v>
      </c>
    </row>
    <row r="144" spans="22:40" ht="15.75">
      <c r="V144" s="16"/>
      <c r="W144" s="16"/>
      <c r="X144" s="14"/>
      <c r="Y144" s="14"/>
      <c r="Z144" s="14"/>
      <c r="AA144" s="14"/>
      <c r="AB144" s="14"/>
      <c r="AC144" s="14"/>
      <c r="AD144" s="14"/>
      <c r="AE144" s="16"/>
      <c r="AF144" s="14"/>
      <c r="AG144" s="14"/>
      <c r="AH144" s="25"/>
      <c r="AI144" s="14"/>
      <c r="AJ144" s="14"/>
      <c r="AK144" s="14"/>
      <c r="AL144" s="7">
        <f t="shared" si="30"/>
        <v>62</v>
      </c>
      <c r="AM144" s="14">
        <f t="shared" si="29"/>
        <v>8.85451764180111</v>
      </c>
      <c r="AN144" s="7">
        <f t="shared" si="49"/>
        <v>0</v>
      </c>
    </row>
    <row r="145" spans="22:40" ht="15.75">
      <c r="V145" s="16"/>
      <c r="W145" s="16"/>
      <c r="X145" s="14"/>
      <c r="Y145" s="14"/>
      <c r="Z145" s="14"/>
      <c r="AA145" s="14"/>
      <c r="AB145" s="14"/>
      <c r="AC145" s="14"/>
      <c r="AD145" s="14"/>
      <c r="AE145" s="16"/>
      <c r="AF145" s="14"/>
      <c r="AG145" s="14"/>
      <c r="AH145" s="25"/>
      <c r="AI145" s="14"/>
      <c r="AJ145" s="14"/>
      <c r="AK145" s="14"/>
      <c r="AL145" s="7">
        <f t="shared" si="30"/>
        <v>62</v>
      </c>
      <c r="AM145" s="14">
        <f t="shared" si="29"/>
        <v>8.85451764180111</v>
      </c>
      <c r="AN145" s="7">
        <f t="shared" si="49"/>
        <v>3.8000000000000007</v>
      </c>
    </row>
    <row r="146" spans="22:40" ht="15.75">
      <c r="V146" s="16"/>
      <c r="W146" s="16"/>
      <c r="X146" s="14"/>
      <c r="Y146" s="14"/>
      <c r="Z146" s="14"/>
      <c r="AA146" s="14"/>
      <c r="AB146" s="14"/>
      <c r="AC146" s="14"/>
      <c r="AD146" s="14"/>
      <c r="AE146" s="16"/>
      <c r="AF146" s="14"/>
      <c r="AG146" s="14"/>
      <c r="AH146" s="25"/>
      <c r="AI146" s="14"/>
      <c r="AJ146" s="14"/>
      <c r="AK146" s="14"/>
      <c r="AL146" s="7">
        <f t="shared" si="30"/>
        <v>63</v>
      </c>
      <c r="AM146" s="14">
        <f t="shared" si="29"/>
        <v>8.997332442475322</v>
      </c>
      <c r="AN146" s="7">
        <f t="shared" si="49"/>
        <v>0</v>
      </c>
    </row>
    <row r="147" spans="22:40" ht="15.75">
      <c r="V147" s="16"/>
      <c r="W147" s="16"/>
      <c r="X147" s="14"/>
      <c r="Y147" s="14"/>
      <c r="Z147" s="14"/>
      <c r="AA147" s="14"/>
      <c r="AB147" s="14"/>
      <c r="AC147" s="14"/>
      <c r="AD147" s="14"/>
      <c r="AE147" s="16"/>
      <c r="AF147" s="14"/>
      <c r="AG147" s="14"/>
      <c r="AH147" s="25"/>
      <c r="AI147" s="14"/>
      <c r="AJ147" s="14"/>
      <c r="AK147" s="14"/>
      <c r="AL147" s="7">
        <f t="shared" si="30"/>
        <v>63</v>
      </c>
      <c r="AM147" s="14">
        <f t="shared" si="29"/>
        <v>8.997332442475322</v>
      </c>
      <c r="AN147" s="7">
        <f t="shared" si="49"/>
        <v>3.7</v>
      </c>
    </row>
    <row r="148" spans="22:40" ht="15.75">
      <c r="V148" s="16"/>
      <c r="W148" s="16"/>
      <c r="X148" s="14"/>
      <c r="Y148" s="14"/>
      <c r="Z148" s="14"/>
      <c r="AA148" s="14"/>
      <c r="AB148" s="14"/>
      <c r="AC148" s="14"/>
      <c r="AD148" s="14"/>
      <c r="AE148" s="16"/>
      <c r="AF148" s="14"/>
      <c r="AG148" s="14"/>
      <c r="AH148" s="25"/>
      <c r="AI148" s="14"/>
      <c r="AJ148" s="14"/>
      <c r="AK148" s="14"/>
      <c r="AL148" s="7">
        <f t="shared" si="30"/>
        <v>64</v>
      </c>
      <c r="AM148" s="14">
        <f t="shared" si="29"/>
        <v>9.140147243149533</v>
      </c>
      <c r="AN148" s="7">
        <f t="shared" si="49"/>
        <v>0</v>
      </c>
    </row>
    <row r="149" spans="22:40" ht="15.75">
      <c r="V149" s="16"/>
      <c r="W149" s="16"/>
      <c r="X149" s="14"/>
      <c r="Y149" s="14"/>
      <c r="Z149" s="14"/>
      <c r="AA149" s="14"/>
      <c r="AB149" s="14"/>
      <c r="AC149" s="14"/>
      <c r="AD149" s="14"/>
      <c r="AE149" s="16"/>
      <c r="AF149" s="14"/>
      <c r="AG149" s="14"/>
      <c r="AH149" s="25"/>
      <c r="AI149" s="14"/>
      <c r="AJ149" s="14"/>
      <c r="AK149" s="14"/>
      <c r="AL149" s="7">
        <f t="shared" si="30"/>
        <v>64</v>
      </c>
      <c r="AM149" s="14">
        <f aca="true" t="shared" si="50" ref="AM149:AM212">AL149*$AN$18</f>
        <v>9.140147243149533</v>
      </c>
      <c r="AN149" s="7">
        <f t="shared" si="49"/>
        <v>3.6000000000000005</v>
      </c>
    </row>
    <row r="150" spans="38:40" ht="15.75">
      <c r="AL150" s="7">
        <f t="shared" si="30"/>
        <v>65</v>
      </c>
      <c r="AM150" s="14">
        <f t="shared" si="50"/>
        <v>9.282962043823744</v>
      </c>
      <c r="AN150" s="7">
        <f t="shared" si="49"/>
        <v>0</v>
      </c>
    </row>
    <row r="151" spans="38:40" ht="15.75">
      <c r="AL151" s="7">
        <f t="shared" si="30"/>
        <v>65</v>
      </c>
      <c r="AM151" s="14">
        <f t="shared" si="50"/>
        <v>9.282962043823744</v>
      </c>
      <c r="AN151" s="7">
        <f t="shared" si="49"/>
        <v>3.500000000000001</v>
      </c>
    </row>
    <row r="152" spans="38:40" ht="15.75">
      <c r="AL152" s="7">
        <f aca="true" t="shared" si="51" ref="AL152:AL215">AL150+1</f>
        <v>66</v>
      </c>
      <c r="AM152" s="14">
        <f t="shared" si="50"/>
        <v>9.425776844497957</v>
      </c>
      <c r="AN152" s="7">
        <f t="shared" si="49"/>
        <v>0</v>
      </c>
    </row>
    <row r="153" spans="38:40" ht="15.75">
      <c r="AL153" s="7">
        <f t="shared" si="51"/>
        <v>66</v>
      </c>
      <c r="AM153" s="14">
        <f t="shared" si="50"/>
        <v>9.425776844497957</v>
      </c>
      <c r="AN153" s="7">
        <f t="shared" si="49"/>
        <v>3.3999999999999995</v>
      </c>
    </row>
    <row r="154" spans="38:40" ht="15.75">
      <c r="AL154" s="7">
        <f t="shared" si="51"/>
        <v>67</v>
      </c>
      <c r="AM154" s="14">
        <f t="shared" si="50"/>
        <v>9.568591645172168</v>
      </c>
      <c r="AN154" s="7">
        <f t="shared" si="49"/>
        <v>0</v>
      </c>
    </row>
    <row r="155" spans="38:40" ht="15.75">
      <c r="AL155" s="7">
        <f t="shared" si="51"/>
        <v>67</v>
      </c>
      <c r="AM155" s="14">
        <f t="shared" si="50"/>
        <v>9.568591645172168</v>
      </c>
      <c r="AN155" s="7">
        <f t="shared" si="49"/>
        <v>3.3</v>
      </c>
    </row>
    <row r="156" spans="38:40" ht="15.75">
      <c r="AL156" s="7">
        <f t="shared" si="51"/>
        <v>68</v>
      </c>
      <c r="AM156" s="14">
        <f t="shared" si="50"/>
        <v>9.711406445846379</v>
      </c>
      <c r="AN156" s="7">
        <f t="shared" si="49"/>
        <v>0</v>
      </c>
    </row>
    <row r="157" spans="38:40" ht="15.75">
      <c r="AL157" s="7">
        <f t="shared" si="51"/>
        <v>68</v>
      </c>
      <c r="AM157" s="14">
        <f t="shared" si="50"/>
        <v>9.711406445846379</v>
      </c>
      <c r="AN157" s="7">
        <f t="shared" si="49"/>
        <v>3.2</v>
      </c>
    </row>
    <row r="158" spans="38:40" ht="15.75">
      <c r="AL158" s="7">
        <f t="shared" si="51"/>
        <v>69</v>
      </c>
      <c r="AM158" s="14">
        <f t="shared" si="50"/>
        <v>9.85422124652059</v>
      </c>
      <c r="AN158" s="7">
        <f t="shared" si="49"/>
        <v>0</v>
      </c>
    </row>
    <row r="159" spans="38:40" ht="15.75">
      <c r="AL159" s="7">
        <f t="shared" si="51"/>
        <v>69</v>
      </c>
      <c r="AM159" s="14">
        <f t="shared" si="50"/>
        <v>9.85422124652059</v>
      </c>
      <c r="AN159" s="7">
        <f t="shared" si="49"/>
        <v>3.1000000000000005</v>
      </c>
    </row>
    <row r="160" spans="38:40" ht="15.75">
      <c r="AL160" s="7">
        <f t="shared" si="51"/>
        <v>70</v>
      </c>
      <c r="AM160" s="14">
        <f t="shared" si="50"/>
        <v>9.997036047194802</v>
      </c>
      <c r="AN160" s="7">
        <f t="shared" si="49"/>
        <v>0</v>
      </c>
    </row>
    <row r="161" spans="38:40" ht="15.75">
      <c r="AL161" s="7">
        <f t="shared" si="51"/>
        <v>70</v>
      </c>
      <c r="AM161" s="14">
        <f t="shared" si="50"/>
        <v>9.997036047194802</v>
      </c>
      <c r="AN161" s="7">
        <f t="shared" si="49"/>
        <v>3</v>
      </c>
    </row>
    <row r="162" spans="38:40" ht="15.75">
      <c r="AL162" s="7">
        <f t="shared" si="51"/>
        <v>71</v>
      </c>
      <c r="AM162" s="14">
        <f t="shared" si="50"/>
        <v>10.139850847869013</v>
      </c>
      <c r="AN162" s="7">
        <f t="shared" si="49"/>
        <v>0</v>
      </c>
    </row>
    <row r="163" spans="38:40" ht="15.75">
      <c r="AL163" s="7">
        <f t="shared" si="51"/>
        <v>71</v>
      </c>
      <c r="AM163" s="14">
        <f t="shared" si="50"/>
        <v>10.139850847869013</v>
      </c>
      <c r="AN163" s="7">
        <f t="shared" si="49"/>
        <v>2.9000000000000004</v>
      </c>
    </row>
    <row r="164" spans="38:40" ht="15.75">
      <c r="AL164" s="7">
        <f t="shared" si="51"/>
        <v>72</v>
      </c>
      <c r="AM164" s="14">
        <f t="shared" si="50"/>
        <v>10.282665648543224</v>
      </c>
      <c r="AN164" s="7">
        <f t="shared" si="49"/>
        <v>0</v>
      </c>
    </row>
    <row r="165" spans="38:40" ht="15.75">
      <c r="AL165" s="7">
        <f t="shared" si="51"/>
        <v>72</v>
      </c>
      <c r="AM165" s="14">
        <f t="shared" si="50"/>
        <v>10.282665648543224</v>
      </c>
      <c r="AN165" s="7">
        <f t="shared" si="49"/>
        <v>2.8000000000000007</v>
      </c>
    </row>
    <row r="166" spans="38:40" ht="15.75">
      <c r="AL166" s="7">
        <f t="shared" si="51"/>
        <v>73</v>
      </c>
      <c r="AM166" s="14">
        <f t="shared" si="50"/>
        <v>10.425480449217437</v>
      </c>
      <c r="AN166" s="7">
        <f t="shared" si="49"/>
        <v>0</v>
      </c>
    </row>
    <row r="167" spans="38:40" ht="15.75">
      <c r="AL167" s="7">
        <f t="shared" si="51"/>
        <v>73</v>
      </c>
      <c r="AM167" s="14">
        <f t="shared" si="50"/>
        <v>10.425480449217437</v>
      </c>
      <c r="AN167" s="7">
        <f t="shared" si="49"/>
        <v>2.7</v>
      </c>
    </row>
    <row r="168" spans="38:40" ht="15.75">
      <c r="AL168" s="7">
        <f t="shared" si="51"/>
        <v>74</v>
      </c>
      <c r="AM168" s="14">
        <f t="shared" si="50"/>
        <v>10.568295249891648</v>
      </c>
      <c r="AN168" s="7">
        <f t="shared" si="49"/>
        <v>0</v>
      </c>
    </row>
    <row r="169" spans="38:40" ht="15.75">
      <c r="AL169" s="7">
        <f t="shared" si="51"/>
        <v>74</v>
      </c>
      <c r="AM169" s="14">
        <f t="shared" si="50"/>
        <v>10.568295249891648</v>
      </c>
      <c r="AN169" s="7">
        <f t="shared" si="49"/>
        <v>2.6000000000000005</v>
      </c>
    </row>
    <row r="170" spans="38:40" ht="15.75">
      <c r="AL170" s="7">
        <f t="shared" si="51"/>
        <v>75</v>
      </c>
      <c r="AM170" s="14">
        <f t="shared" si="50"/>
        <v>10.711110050565859</v>
      </c>
      <c r="AN170" s="7">
        <f t="shared" si="49"/>
        <v>0</v>
      </c>
    </row>
    <row r="171" spans="38:40" ht="15.75">
      <c r="AL171" s="7">
        <f t="shared" si="51"/>
        <v>75</v>
      </c>
      <c r="AM171" s="14">
        <f t="shared" si="50"/>
        <v>10.711110050565859</v>
      </c>
      <c r="AN171" s="7">
        <f t="shared" si="49"/>
        <v>2.500000000000001</v>
      </c>
    </row>
    <row r="172" spans="38:40" ht="15.75">
      <c r="AL172" s="7">
        <f t="shared" si="51"/>
        <v>76</v>
      </c>
      <c r="AM172" s="14">
        <f t="shared" si="50"/>
        <v>10.853924851240071</v>
      </c>
      <c r="AN172" s="7">
        <f t="shared" si="49"/>
        <v>0</v>
      </c>
    </row>
    <row r="173" spans="38:40" ht="15.75">
      <c r="AL173" s="7">
        <f t="shared" si="51"/>
        <v>76</v>
      </c>
      <c r="AM173" s="14">
        <f t="shared" si="50"/>
        <v>10.853924851240071</v>
      </c>
      <c r="AN173" s="7">
        <f t="shared" si="49"/>
        <v>2.3999999999999995</v>
      </c>
    </row>
    <row r="174" spans="38:40" ht="15.75">
      <c r="AL174" s="7">
        <f t="shared" si="51"/>
        <v>77</v>
      </c>
      <c r="AM174" s="14">
        <f t="shared" si="50"/>
        <v>10.996739651914282</v>
      </c>
      <c r="AN174" s="7">
        <f t="shared" si="49"/>
        <v>0</v>
      </c>
    </row>
    <row r="175" spans="38:40" ht="15.75">
      <c r="AL175" s="7">
        <f t="shared" si="51"/>
        <v>77</v>
      </c>
      <c r="AM175" s="14">
        <f t="shared" si="50"/>
        <v>10.996739651914282</v>
      </c>
      <c r="AN175" s="7">
        <f t="shared" si="49"/>
        <v>2.3</v>
      </c>
    </row>
    <row r="176" spans="38:40" ht="15.75">
      <c r="AL176" s="7">
        <f t="shared" si="51"/>
        <v>78</v>
      </c>
      <c r="AM176" s="14">
        <f t="shared" si="50"/>
        <v>11.139554452588493</v>
      </c>
      <c r="AN176" s="7">
        <f t="shared" si="49"/>
        <v>0</v>
      </c>
    </row>
    <row r="177" spans="38:40" ht="15.75">
      <c r="AL177" s="7">
        <f t="shared" si="51"/>
        <v>78</v>
      </c>
      <c r="AM177" s="14">
        <f t="shared" si="50"/>
        <v>11.139554452588493</v>
      </c>
      <c r="AN177" s="7">
        <f t="shared" si="49"/>
        <v>2.2</v>
      </c>
    </row>
    <row r="178" spans="38:40" ht="15.75">
      <c r="AL178" s="7">
        <f t="shared" si="51"/>
        <v>79</v>
      </c>
      <c r="AM178" s="14">
        <f t="shared" si="50"/>
        <v>11.282369253262704</v>
      </c>
      <c r="AN178" s="7">
        <f t="shared" si="49"/>
        <v>0</v>
      </c>
    </row>
    <row r="179" spans="38:40" ht="15.75">
      <c r="AL179" s="7">
        <f t="shared" si="51"/>
        <v>79</v>
      </c>
      <c r="AM179" s="14">
        <f t="shared" si="50"/>
        <v>11.282369253262704</v>
      </c>
      <c r="AN179" s="7">
        <f t="shared" si="49"/>
        <v>2.1000000000000014</v>
      </c>
    </row>
    <row r="180" spans="38:40" ht="15.75">
      <c r="AL180" s="7">
        <f t="shared" si="51"/>
        <v>80</v>
      </c>
      <c r="AM180" s="14">
        <f t="shared" si="50"/>
        <v>11.425184053936917</v>
      </c>
      <c r="AN180" s="7">
        <f t="shared" si="49"/>
        <v>0</v>
      </c>
    </row>
    <row r="181" spans="38:40" ht="15.75">
      <c r="AL181" s="7">
        <f t="shared" si="51"/>
        <v>80</v>
      </c>
      <c r="AM181" s="14">
        <f t="shared" si="50"/>
        <v>11.425184053936917</v>
      </c>
      <c r="AN181" s="7">
        <f t="shared" si="49"/>
        <v>2</v>
      </c>
    </row>
    <row r="182" spans="38:40" ht="15.75">
      <c r="AL182" s="7">
        <f t="shared" si="51"/>
        <v>81</v>
      </c>
      <c r="AM182" s="14">
        <f t="shared" si="50"/>
        <v>11.567998854611128</v>
      </c>
      <c r="AN182" s="7">
        <f t="shared" si="49"/>
        <v>0</v>
      </c>
    </row>
    <row r="183" spans="38:40" ht="15.75">
      <c r="AL183" s="7">
        <f t="shared" si="51"/>
        <v>81</v>
      </c>
      <c r="AM183" s="14">
        <f t="shared" si="50"/>
        <v>11.567998854611128</v>
      </c>
      <c r="AN183" s="7">
        <f t="shared" si="49"/>
        <v>1.9000000000000004</v>
      </c>
    </row>
    <row r="184" spans="38:40" ht="15.75">
      <c r="AL184" s="7">
        <f t="shared" si="51"/>
        <v>82</v>
      </c>
      <c r="AM184" s="14">
        <f t="shared" si="50"/>
        <v>11.710813655285339</v>
      </c>
      <c r="AN184" s="7">
        <f t="shared" si="49"/>
        <v>0</v>
      </c>
    </row>
    <row r="185" spans="38:40" ht="15.75">
      <c r="AL185" s="7">
        <f t="shared" si="51"/>
        <v>82</v>
      </c>
      <c r="AM185" s="14">
        <f t="shared" si="50"/>
        <v>11.710813655285339</v>
      </c>
      <c r="AN185" s="7">
        <f t="shared" si="49"/>
        <v>1.8000000000000007</v>
      </c>
    </row>
    <row r="186" spans="38:40" ht="15.75">
      <c r="AL186" s="7">
        <f t="shared" si="51"/>
        <v>83</v>
      </c>
      <c r="AM186" s="14">
        <f t="shared" si="50"/>
        <v>11.853628455959552</v>
      </c>
      <c r="AN186" s="7">
        <f t="shared" si="49"/>
        <v>0</v>
      </c>
    </row>
    <row r="187" spans="38:40" ht="15.75">
      <c r="AL187" s="7">
        <f t="shared" si="51"/>
        <v>83</v>
      </c>
      <c r="AM187" s="14">
        <f t="shared" si="50"/>
        <v>11.853628455959552</v>
      </c>
      <c r="AN187" s="7">
        <f t="shared" si="49"/>
        <v>1.6999999999999993</v>
      </c>
    </row>
    <row r="188" spans="38:40" ht="15.75">
      <c r="AL188" s="7">
        <f t="shared" si="51"/>
        <v>84</v>
      </c>
      <c r="AM188" s="14">
        <f t="shared" si="50"/>
        <v>11.996443256633762</v>
      </c>
      <c r="AN188" s="7">
        <f t="shared" si="49"/>
        <v>0</v>
      </c>
    </row>
    <row r="189" spans="38:40" ht="15.75">
      <c r="AL189" s="7">
        <f t="shared" si="51"/>
        <v>84</v>
      </c>
      <c r="AM189" s="14">
        <f t="shared" si="50"/>
        <v>11.996443256633762</v>
      </c>
      <c r="AN189" s="7">
        <f t="shared" si="49"/>
        <v>1.5999999999999996</v>
      </c>
    </row>
    <row r="190" spans="38:40" ht="15.75">
      <c r="AL190" s="7">
        <f t="shared" si="51"/>
        <v>85</v>
      </c>
      <c r="AM190" s="14">
        <f t="shared" si="50"/>
        <v>12.139258057307973</v>
      </c>
      <c r="AN190" s="7">
        <f t="shared" si="49"/>
        <v>0</v>
      </c>
    </row>
    <row r="191" spans="38:40" ht="15.75">
      <c r="AL191" s="7">
        <f t="shared" si="51"/>
        <v>85</v>
      </c>
      <c r="AM191" s="14">
        <f t="shared" si="50"/>
        <v>12.139258057307973</v>
      </c>
      <c r="AN191" s="7">
        <f t="shared" si="49"/>
        <v>1.5</v>
      </c>
    </row>
    <row r="192" spans="38:40" ht="15.75">
      <c r="AL192" s="7">
        <f t="shared" si="51"/>
        <v>86</v>
      </c>
      <c r="AM192" s="14">
        <f t="shared" si="50"/>
        <v>12.282072857982186</v>
      </c>
      <c r="AN192" s="7">
        <f t="shared" si="49"/>
        <v>0</v>
      </c>
    </row>
    <row r="193" spans="38:40" ht="15.75">
      <c r="AL193" s="7">
        <f t="shared" si="51"/>
        <v>86</v>
      </c>
      <c r="AM193" s="14">
        <f t="shared" si="50"/>
        <v>12.282072857982186</v>
      </c>
      <c r="AN193" s="7">
        <f t="shared" si="49"/>
        <v>1.4000000000000004</v>
      </c>
    </row>
    <row r="194" spans="38:40" ht="15.75">
      <c r="AL194" s="7">
        <f t="shared" si="51"/>
        <v>87</v>
      </c>
      <c r="AM194" s="14">
        <f t="shared" si="50"/>
        <v>12.424887658656397</v>
      </c>
      <c r="AN194" s="7">
        <f t="shared" si="49"/>
        <v>0</v>
      </c>
    </row>
    <row r="195" spans="38:40" ht="15.75">
      <c r="AL195" s="7">
        <f t="shared" si="51"/>
        <v>87</v>
      </c>
      <c r="AM195" s="14">
        <f t="shared" si="50"/>
        <v>12.424887658656397</v>
      </c>
      <c r="AN195" s="7">
        <f t="shared" si="49"/>
        <v>1.3000000000000007</v>
      </c>
    </row>
    <row r="196" spans="38:40" ht="15.75">
      <c r="AL196" s="7">
        <f t="shared" si="51"/>
        <v>88</v>
      </c>
      <c r="AM196" s="14">
        <f t="shared" si="50"/>
        <v>12.567702459330608</v>
      </c>
      <c r="AN196" s="7">
        <f t="shared" si="49"/>
        <v>0</v>
      </c>
    </row>
    <row r="197" spans="38:40" ht="15.75">
      <c r="AL197" s="7">
        <f t="shared" si="51"/>
        <v>88</v>
      </c>
      <c r="AM197" s="14">
        <f t="shared" si="50"/>
        <v>12.567702459330608</v>
      </c>
      <c r="AN197" s="7">
        <f t="shared" si="49"/>
        <v>1.200000000000001</v>
      </c>
    </row>
    <row r="198" spans="38:40" ht="15.75">
      <c r="AL198" s="7">
        <f t="shared" si="51"/>
        <v>89</v>
      </c>
      <c r="AM198" s="14">
        <f t="shared" si="50"/>
        <v>12.710517260004819</v>
      </c>
      <c r="AN198" s="7">
        <f t="shared" si="49"/>
        <v>0</v>
      </c>
    </row>
    <row r="199" spans="38:40" ht="15.75">
      <c r="AL199" s="7">
        <f t="shared" si="51"/>
        <v>89</v>
      </c>
      <c r="AM199" s="14">
        <f t="shared" si="50"/>
        <v>12.710517260004819</v>
      </c>
      <c r="AN199" s="7">
        <f t="shared" si="49"/>
        <v>1.1000000000000014</v>
      </c>
    </row>
    <row r="200" spans="38:40" ht="15.75">
      <c r="AL200" s="7">
        <f t="shared" si="51"/>
        <v>90</v>
      </c>
      <c r="AM200" s="14">
        <f t="shared" si="50"/>
        <v>12.853332060679032</v>
      </c>
      <c r="AN200" s="7">
        <f t="shared" si="49"/>
        <v>0</v>
      </c>
    </row>
    <row r="201" spans="38:40" ht="15.75">
      <c r="AL201" s="7">
        <f t="shared" si="51"/>
        <v>90</v>
      </c>
      <c r="AM201" s="14">
        <f t="shared" si="50"/>
        <v>12.853332060679032</v>
      </c>
      <c r="AN201" s="7">
        <f t="shared" si="49"/>
        <v>1</v>
      </c>
    </row>
    <row r="202" spans="38:40" ht="15.75">
      <c r="AL202" s="7">
        <f t="shared" si="51"/>
        <v>91</v>
      </c>
      <c r="AM202" s="14">
        <f t="shared" si="50"/>
        <v>12.996146861353242</v>
      </c>
      <c r="AN202" s="7">
        <f t="shared" si="49"/>
        <v>0</v>
      </c>
    </row>
    <row r="203" spans="38:40" ht="15.75">
      <c r="AL203" s="7">
        <f t="shared" si="51"/>
        <v>91</v>
      </c>
      <c r="AM203" s="14">
        <f t="shared" si="50"/>
        <v>12.996146861353242</v>
      </c>
      <c r="AN203" s="7">
        <f t="shared" si="49"/>
        <v>0.9000000000000004</v>
      </c>
    </row>
    <row r="204" spans="38:40" ht="15.75">
      <c r="AL204" s="7">
        <f t="shared" si="51"/>
        <v>92</v>
      </c>
      <c r="AM204" s="14">
        <f t="shared" si="50"/>
        <v>13.138961662027453</v>
      </c>
      <c r="AN204" s="7">
        <f t="shared" si="49"/>
        <v>0</v>
      </c>
    </row>
    <row r="205" spans="38:40" ht="15.75">
      <c r="AL205" s="7">
        <f t="shared" si="51"/>
        <v>92</v>
      </c>
      <c r="AM205" s="14">
        <f t="shared" si="50"/>
        <v>13.138961662027453</v>
      </c>
      <c r="AN205" s="7">
        <f t="shared" si="49"/>
        <v>0.8000000000000007</v>
      </c>
    </row>
    <row r="206" spans="38:40" ht="15.75">
      <c r="AL206" s="7">
        <f t="shared" si="51"/>
        <v>93</v>
      </c>
      <c r="AM206" s="14">
        <f t="shared" si="50"/>
        <v>13.281776462701666</v>
      </c>
      <c r="AN206" s="7">
        <f t="shared" si="49"/>
        <v>0</v>
      </c>
    </row>
    <row r="207" spans="38:40" ht="15.75">
      <c r="AL207" s="7">
        <f t="shared" si="51"/>
        <v>93</v>
      </c>
      <c r="AM207" s="14">
        <f t="shared" si="50"/>
        <v>13.281776462701666</v>
      </c>
      <c r="AN207" s="7">
        <f aca="true" t="shared" si="52" ref="AN207:AN221">IF(AL207&lt;AL208,$AM$9-TAN($AM$11)*AM207,0)</f>
        <v>0.6999999999999993</v>
      </c>
    </row>
    <row r="208" spans="38:40" ht="15.75">
      <c r="AL208" s="7">
        <f t="shared" si="51"/>
        <v>94</v>
      </c>
      <c r="AM208" s="14">
        <f t="shared" si="50"/>
        <v>13.424591263375877</v>
      </c>
      <c r="AN208" s="7">
        <f t="shared" si="52"/>
        <v>0</v>
      </c>
    </row>
    <row r="209" spans="38:40" ht="15.75">
      <c r="AL209" s="7">
        <f t="shared" si="51"/>
        <v>94</v>
      </c>
      <c r="AM209" s="14">
        <f t="shared" si="50"/>
        <v>13.424591263375877</v>
      </c>
      <c r="AN209" s="7">
        <f t="shared" si="52"/>
        <v>0.5999999999999996</v>
      </c>
    </row>
    <row r="210" spans="38:40" ht="15.75">
      <c r="AL210" s="7">
        <f t="shared" si="51"/>
        <v>95</v>
      </c>
      <c r="AM210" s="14">
        <f t="shared" si="50"/>
        <v>13.567406064050088</v>
      </c>
      <c r="AN210" s="7">
        <f t="shared" si="52"/>
        <v>0</v>
      </c>
    </row>
    <row r="211" spans="38:40" ht="15.75">
      <c r="AL211" s="7">
        <f t="shared" si="51"/>
        <v>95</v>
      </c>
      <c r="AM211" s="14">
        <f t="shared" si="50"/>
        <v>13.567406064050088</v>
      </c>
      <c r="AN211" s="7">
        <f t="shared" si="52"/>
        <v>0.5</v>
      </c>
    </row>
    <row r="212" spans="38:40" ht="15.75">
      <c r="AL212" s="7">
        <f t="shared" si="51"/>
        <v>96</v>
      </c>
      <c r="AM212" s="14">
        <f t="shared" si="50"/>
        <v>13.710220864724299</v>
      </c>
      <c r="AN212" s="7">
        <f t="shared" si="52"/>
        <v>0</v>
      </c>
    </row>
    <row r="213" spans="38:40" ht="15.75">
      <c r="AL213" s="7">
        <f t="shared" si="51"/>
        <v>96</v>
      </c>
      <c r="AM213" s="14">
        <f aca="true" t="shared" si="53" ref="AM213:AM221">AL213*$AN$18</f>
        <v>13.710220864724299</v>
      </c>
      <c r="AN213" s="7">
        <f t="shared" si="52"/>
        <v>0.40000000000000036</v>
      </c>
    </row>
    <row r="214" spans="38:40" ht="15.75">
      <c r="AL214" s="7">
        <f t="shared" si="51"/>
        <v>97</v>
      </c>
      <c r="AM214" s="14">
        <f t="shared" si="53"/>
        <v>13.853035665398512</v>
      </c>
      <c r="AN214" s="7">
        <f t="shared" si="52"/>
        <v>0</v>
      </c>
    </row>
    <row r="215" spans="38:40" ht="15.75">
      <c r="AL215" s="7">
        <f t="shared" si="51"/>
        <v>97</v>
      </c>
      <c r="AM215" s="14">
        <f t="shared" si="53"/>
        <v>13.853035665398512</v>
      </c>
      <c r="AN215" s="7">
        <f t="shared" si="52"/>
        <v>0.3000000000000007</v>
      </c>
    </row>
    <row r="216" spans="38:40" ht="15.75">
      <c r="AL216" s="7">
        <f aca="true" t="shared" si="54" ref="AL216:AL221">AL214+1</f>
        <v>98</v>
      </c>
      <c r="AM216" s="14">
        <f t="shared" si="53"/>
        <v>13.995850466072723</v>
      </c>
      <c r="AN216" s="7">
        <f t="shared" si="52"/>
        <v>0</v>
      </c>
    </row>
    <row r="217" spans="38:40" ht="15.75">
      <c r="AL217" s="7">
        <f t="shared" si="54"/>
        <v>98</v>
      </c>
      <c r="AM217" s="14">
        <f t="shared" si="53"/>
        <v>13.995850466072723</v>
      </c>
      <c r="AN217" s="7">
        <f t="shared" si="52"/>
        <v>0.20000000000000107</v>
      </c>
    </row>
    <row r="218" spans="38:40" ht="15.75">
      <c r="AL218" s="7">
        <f t="shared" si="54"/>
        <v>99</v>
      </c>
      <c r="AM218" s="14">
        <f t="shared" si="53"/>
        <v>14.138665266746933</v>
      </c>
      <c r="AN218" s="7">
        <f t="shared" si="52"/>
        <v>0</v>
      </c>
    </row>
    <row r="219" spans="38:40" ht="15.75">
      <c r="AL219" s="7">
        <f t="shared" si="54"/>
        <v>99</v>
      </c>
      <c r="AM219" s="14">
        <f t="shared" si="53"/>
        <v>14.138665266746933</v>
      </c>
      <c r="AN219" s="7">
        <f t="shared" si="52"/>
        <v>0.10000000000000142</v>
      </c>
    </row>
    <row r="220" spans="38:40" ht="15.75">
      <c r="AL220" s="7">
        <f t="shared" si="54"/>
        <v>100</v>
      </c>
      <c r="AM220" s="14">
        <f t="shared" si="53"/>
        <v>14.281480067421146</v>
      </c>
      <c r="AN220" s="7">
        <f t="shared" si="52"/>
        <v>0</v>
      </c>
    </row>
    <row r="221" spans="38:40" ht="15.75">
      <c r="AL221" s="7">
        <f t="shared" si="54"/>
        <v>100</v>
      </c>
      <c r="AM221" s="14">
        <f t="shared" si="53"/>
        <v>14.281480067421146</v>
      </c>
      <c r="AN221" s="7">
        <f t="shared" si="52"/>
        <v>0</v>
      </c>
    </row>
    <row r="222" spans="38:40" ht="15.75">
      <c r="AL222" s="7"/>
      <c r="AM222" s="14"/>
      <c r="AN222" s="7"/>
    </row>
    <row r="223" spans="38:40" ht="15.75">
      <c r="AL223" s="7"/>
      <c r="AM223" s="14"/>
      <c r="AN223" s="7"/>
    </row>
    <row r="224" spans="38:40" ht="15.75">
      <c r="AL224" s="7"/>
      <c r="AM224" s="14"/>
      <c r="AN224" s="7"/>
    </row>
    <row r="225" spans="38:40" ht="15.75">
      <c r="AL225" s="7"/>
      <c r="AM225" s="14"/>
      <c r="AN225" s="7"/>
    </row>
    <row r="226" spans="38:40" ht="15.75">
      <c r="AL226" s="7"/>
      <c r="AM226" s="14"/>
      <c r="AN226" s="7"/>
    </row>
    <row r="227" spans="38:40" ht="15.75">
      <c r="AL227" s="7"/>
      <c r="AM227" s="14"/>
      <c r="AN227" s="7"/>
    </row>
    <row r="228" spans="38:40" ht="15.75">
      <c r="AL228" s="7"/>
      <c r="AM228" s="14"/>
      <c r="AN228" s="7"/>
    </row>
    <row r="229" spans="38:40" ht="15.75">
      <c r="AL229" s="7"/>
      <c r="AM229" s="14"/>
      <c r="AN229" s="7"/>
    </row>
    <row r="230" spans="38:40" ht="15.75">
      <c r="AL230" s="7"/>
      <c r="AM230" s="14"/>
      <c r="AN230" s="7"/>
    </row>
    <row r="231" spans="38:40" ht="15.75">
      <c r="AL231" s="7"/>
      <c r="AM231" s="14"/>
      <c r="AN231" s="7"/>
    </row>
    <row r="232" spans="38:40" ht="15.75">
      <c r="AL232" s="7"/>
      <c r="AM232" s="14"/>
      <c r="AN232" s="7"/>
    </row>
    <row r="233" spans="38:40" ht="15.75">
      <c r="AL233" s="7"/>
      <c r="AM233" s="14"/>
      <c r="AN233" s="7"/>
    </row>
    <row r="234" spans="38:40" ht="15.75">
      <c r="AL234" s="7"/>
      <c r="AM234" s="14"/>
      <c r="AN234" s="7"/>
    </row>
    <row r="235" spans="38:40" ht="15.75">
      <c r="AL235" s="7"/>
      <c r="AM235" s="14"/>
      <c r="AN235" s="7"/>
    </row>
    <row r="236" spans="38:40" ht="15.75">
      <c r="AL236" s="7"/>
      <c r="AM236" s="14"/>
      <c r="AN236" s="7"/>
    </row>
    <row r="237" spans="38:40" ht="15.75">
      <c r="AL237" s="7"/>
      <c r="AM237" s="14"/>
      <c r="AN237" s="7"/>
    </row>
    <row r="238" spans="38:40" ht="15.75">
      <c r="AL238" s="7"/>
      <c r="AM238" s="14"/>
      <c r="AN238" s="7"/>
    </row>
    <row r="239" spans="38:40" ht="15.75">
      <c r="AL239" s="7"/>
      <c r="AM239" s="14"/>
      <c r="AN239" s="7"/>
    </row>
    <row r="240" spans="38:40" ht="15.75">
      <c r="AL240" s="7"/>
      <c r="AM240" s="14"/>
      <c r="AN240" s="7"/>
    </row>
    <row r="241" spans="38:40" ht="15.75">
      <c r="AL241" s="7"/>
      <c r="AM241" s="14"/>
      <c r="AN241" s="7"/>
    </row>
    <row r="242" spans="38:40" ht="15.75">
      <c r="AL242" s="7"/>
      <c r="AM242" s="14"/>
      <c r="AN242" s="7"/>
    </row>
    <row r="243" spans="38:40" ht="15.75">
      <c r="AL243" s="7"/>
      <c r="AM243" s="14"/>
      <c r="AN243" s="7"/>
    </row>
    <row r="244" spans="38:40" ht="15.75">
      <c r="AL244" s="7"/>
      <c r="AM244" s="14"/>
      <c r="AN244" s="7"/>
    </row>
    <row r="245" spans="38:40" ht="15.75">
      <c r="AL245" s="7"/>
      <c r="AM245" s="14"/>
      <c r="AN245" s="7"/>
    </row>
    <row r="246" spans="38:40" ht="15.75">
      <c r="AL246" s="7"/>
      <c r="AM246" s="14"/>
      <c r="AN246" s="7"/>
    </row>
    <row r="247" spans="38:40" ht="15.75">
      <c r="AL247" s="7"/>
      <c r="AM247" s="14"/>
      <c r="AN247" s="7"/>
    </row>
    <row r="248" spans="38:40" ht="15.75">
      <c r="AL248" s="7"/>
      <c r="AM248" s="14"/>
      <c r="AN248" s="7"/>
    </row>
    <row r="249" spans="38:40" ht="15.75">
      <c r="AL249" s="7"/>
      <c r="AM249" s="14"/>
      <c r="AN249" s="7"/>
    </row>
    <row r="250" spans="38:40" ht="15.75">
      <c r="AL250" s="7"/>
      <c r="AM250" s="14"/>
      <c r="AN250" s="7"/>
    </row>
    <row r="251" spans="38:40" ht="15.75">
      <c r="AL251" s="7"/>
      <c r="AM251" s="14"/>
      <c r="AN251" s="7"/>
    </row>
    <row r="252" spans="38:40" ht="15.75">
      <c r="AL252" s="7"/>
      <c r="AM252" s="14"/>
      <c r="AN252" s="7"/>
    </row>
    <row r="253" spans="38:40" ht="15.75">
      <c r="AL253" s="7"/>
      <c r="AM253" s="14"/>
      <c r="AN253" s="7"/>
    </row>
    <row r="254" spans="38:40" ht="15.75">
      <c r="AL254" s="7"/>
      <c r="AM254" s="14"/>
      <c r="AN254" s="7"/>
    </row>
    <row r="255" spans="38:40" ht="15.75">
      <c r="AL255" s="7"/>
      <c r="AM255" s="14"/>
      <c r="AN255" s="7"/>
    </row>
    <row r="256" spans="38:40" ht="15.75">
      <c r="AL256" s="7"/>
      <c r="AM256" s="14"/>
      <c r="AN256" s="7"/>
    </row>
    <row r="257" spans="38:40" ht="15.75">
      <c r="AL257" s="7"/>
      <c r="AM257" s="14"/>
      <c r="AN257" s="7"/>
    </row>
    <row r="258" spans="38:40" ht="15.75">
      <c r="AL258" s="7"/>
      <c r="AM258" s="14"/>
      <c r="AN258" s="7"/>
    </row>
    <row r="259" spans="38:40" ht="15.75">
      <c r="AL259" s="7"/>
      <c r="AM259" s="14"/>
      <c r="AN259" s="7"/>
    </row>
    <row r="260" spans="38:40" ht="15.75">
      <c r="AL260" s="7"/>
      <c r="AM260" s="14"/>
      <c r="AN260" s="7"/>
    </row>
    <row r="261" spans="38:40" ht="15.75">
      <c r="AL261" s="7"/>
      <c r="AM261" s="14"/>
      <c r="AN261" s="7"/>
    </row>
    <row r="262" spans="38:40" ht="15.75">
      <c r="AL262" s="7"/>
      <c r="AM262" s="14"/>
      <c r="AN262" s="7"/>
    </row>
    <row r="263" spans="38:40" ht="15.75">
      <c r="AL263" s="7"/>
      <c r="AM263" s="14"/>
      <c r="AN263" s="7"/>
    </row>
    <row r="264" spans="38:40" ht="15.75">
      <c r="AL264" s="7"/>
      <c r="AM264" s="14"/>
      <c r="AN264" s="7"/>
    </row>
    <row r="265" spans="38:40" ht="15.75">
      <c r="AL265" s="7"/>
      <c r="AM265" s="14"/>
      <c r="AN265" s="7"/>
    </row>
    <row r="266" spans="38:40" ht="15.75">
      <c r="AL266" s="7"/>
      <c r="AM266" s="14"/>
      <c r="AN266" s="7"/>
    </row>
    <row r="267" spans="38:40" ht="15.75">
      <c r="AL267" s="7"/>
      <c r="AM267" s="14"/>
      <c r="AN267" s="7"/>
    </row>
    <row r="268" spans="38:40" ht="15.75">
      <c r="AL268" s="7"/>
      <c r="AM268" s="14"/>
      <c r="AN268" s="7"/>
    </row>
    <row r="269" spans="38:40" ht="15.75">
      <c r="AL269" s="7"/>
      <c r="AM269" s="14"/>
      <c r="AN269" s="7"/>
    </row>
    <row r="270" spans="38:40" ht="15.75">
      <c r="AL270" s="7"/>
      <c r="AM270" s="14"/>
      <c r="AN270" s="7"/>
    </row>
    <row r="271" spans="38:40" ht="15.75">
      <c r="AL271" s="7"/>
      <c r="AM271" s="14"/>
      <c r="AN271" s="7"/>
    </row>
    <row r="272" spans="38:40" ht="15.75">
      <c r="AL272" s="7"/>
      <c r="AM272" s="14"/>
      <c r="AN272" s="7"/>
    </row>
    <row r="273" spans="38:40" ht="15.75">
      <c r="AL273" s="7"/>
      <c r="AM273" s="14"/>
      <c r="AN273" s="7"/>
    </row>
    <row r="274" spans="38:40" ht="15.75">
      <c r="AL274" s="7"/>
      <c r="AM274" s="14"/>
      <c r="AN274" s="7"/>
    </row>
    <row r="275" spans="38:40" ht="15.75">
      <c r="AL275" s="7"/>
      <c r="AM275" s="14"/>
      <c r="AN275" s="7"/>
    </row>
    <row r="276" spans="38:40" ht="15.75">
      <c r="AL276" s="7"/>
      <c r="AM276" s="14"/>
      <c r="AN276" s="7"/>
    </row>
    <row r="277" spans="38:40" ht="15.75">
      <c r="AL277" s="7"/>
      <c r="AM277" s="14"/>
      <c r="AN277" s="7"/>
    </row>
    <row r="278" spans="38:40" ht="15.75">
      <c r="AL278" s="7"/>
      <c r="AM278" s="14"/>
      <c r="AN278" s="7"/>
    </row>
    <row r="279" spans="38:40" ht="15.75">
      <c r="AL279" s="7"/>
      <c r="AM279" s="14"/>
      <c r="AN279" s="7"/>
    </row>
    <row r="280" spans="38:40" ht="15.75">
      <c r="AL280" s="7"/>
      <c r="AM280" s="14"/>
      <c r="AN280" s="7"/>
    </row>
  </sheetData>
  <conditionalFormatting sqref="V150:AK154">
    <cfRule type="expression" priority="1" dxfId="0" stopIfTrue="1">
      <formula>$AA150&lt;=0</formula>
    </cfRule>
  </conditionalFormatting>
  <conditionalFormatting sqref="Z126:Z149">
    <cfRule type="expression" priority="2" dxfId="0" stopIfTrue="1">
      <formula>AND($AA126&lt;0,$AF126&lt;$N$3)</formula>
    </cfRule>
  </conditionalFormatting>
  <conditionalFormatting sqref="V126:Y149 AA126:AK149">
    <cfRule type="expression" priority="3" dxfId="0" stopIfTrue="1">
      <formula>AND($Z126&lt;0,$AF126&lt;$N$3)</formula>
    </cfRule>
  </conditionalFormatting>
  <conditionalFormatting sqref="AR25:AY125 AP25:AQ141 AO25:AO125 V25:AK125">
    <cfRule type="expression" priority="4" dxfId="0" stopIfTrue="1">
      <formula>$X25&lt;=$W$16</formula>
    </cfRule>
  </conditionalFormatting>
  <conditionalFormatting sqref="AL14:AN16 AG17:AK17">
    <cfRule type="expression" priority="5" dxfId="0" stopIfTrue="1">
      <formula>$X14&gt;=$W$19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B2:IH166"/>
  <sheetViews>
    <sheetView showGridLines="0" showRowColHeaders="0" workbookViewId="0" topLeftCell="A1">
      <pane xSplit="20" topLeftCell="AF1" activePane="topRight" state="frozen"/>
      <selection pane="topLeft" activeCell="A1" sqref="A1"/>
      <selection pane="topRight" activeCell="S22" sqref="S22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5.00390625" style="1" bestFit="1" customWidth="1"/>
    <col min="4" max="4" width="5.00390625" style="1" customWidth="1"/>
    <col min="5" max="5" width="5.00390625" style="1" bestFit="1" customWidth="1"/>
    <col min="6" max="6" width="5.28125" style="1" bestFit="1" customWidth="1"/>
    <col min="7" max="7" width="4.28125" style="1" bestFit="1" customWidth="1"/>
    <col min="8" max="8" width="4.140625" style="1" bestFit="1" customWidth="1"/>
    <col min="9" max="9" width="7.57421875" style="1" hidden="1" customWidth="1"/>
    <col min="10" max="10" width="9.7109375" style="1" customWidth="1"/>
    <col min="11" max="11" width="15.57421875" style="1" bestFit="1" customWidth="1"/>
    <col min="12" max="12" width="5.28125" style="1" bestFit="1" customWidth="1"/>
    <col min="13" max="13" width="2.7109375" style="1" bestFit="1" customWidth="1"/>
    <col min="14" max="14" width="10.140625" style="1" bestFit="1" customWidth="1"/>
    <col min="15" max="15" width="4.140625" style="1" customWidth="1"/>
    <col min="16" max="16" width="12.140625" style="1" bestFit="1" customWidth="1"/>
    <col min="17" max="18" width="14.7109375" style="1" customWidth="1"/>
    <col min="19" max="19" width="40.8515625" style="1" customWidth="1"/>
    <col min="20" max="21" width="14.7109375" style="1" customWidth="1"/>
    <col min="22" max="22" width="20.421875" style="1" bestFit="1" customWidth="1"/>
    <col min="23" max="25" width="9.140625" style="1" customWidth="1"/>
    <col min="26" max="26" width="12.421875" style="1" bestFit="1" customWidth="1"/>
    <col min="27" max="27" width="15.28125" style="1" bestFit="1" customWidth="1"/>
    <col min="28" max="28" width="11.140625" style="1" bestFit="1" customWidth="1"/>
    <col min="29" max="29" width="9.140625" style="1" customWidth="1"/>
    <col min="30" max="30" width="14.7109375" style="1" bestFit="1" customWidth="1"/>
    <col min="31" max="31" width="10.421875" style="1" bestFit="1" customWidth="1"/>
    <col min="32" max="32" width="10.00390625" style="1" bestFit="1" customWidth="1"/>
    <col min="33" max="16384" width="9.140625" style="1" customWidth="1"/>
  </cols>
  <sheetData>
    <row r="1" ht="7.5" customHeight="1"/>
    <row r="2" spans="2:242" ht="15.75">
      <c r="B2" s="43" t="s">
        <v>133</v>
      </c>
      <c r="C2" s="2"/>
      <c r="D2" s="2"/>
      <c r="E2" s="2" t="s">
        <v>1</v>
      </c>
      <c r="F2" s="5">
        <v>80</v>
      </c>
      <c r="G2" s="2" t="s">
        <v>106</v>
      </c>
      <c r="H2" s="2"/>
      <c r="J2" s="2"/>
      <c r="K2" s="43" t="s">
        <v>138</v>
      </c>
      <c r="P2" s="43" t="s">
        <v>139</v>
      </c>
      <c r="R2" s="11"/>
      <c r="S2" s="2"/>
      <c r="U2" s="2"/>
      <c r="V2" s="2"/>
      <c r="W2" s="7" t="s">
        <v>11</v>
      </c>
      <c r="AA2" s="6" t="s">
        <v>63</v>
      </c>
      <c r="AB2" s="1">
        <v>-0.05</v>
      </c>
      <c r="IH2" s="1">
        <v>6</v>
      </c>
    </row>
    <row r="3" spans="5:28" ht="15.75">
      <c r="E3" s="33" t="s">
        <v>4</v>
      </c>
      <c r="F3" s="34">
        <f>1+4*H3/20</f>
        <v>5.8</v>
      </c>
      <c r="G3" s="33" t="s">
        <v>6</v>
      </c>
      <c r="H3" s="5">
        <v>24</v>
      </c>
      <c r="I3" s="2"/>
      <c r="K3" s="33" t="s">
        <v>134</v>
      </c>
      <c r="L3" s="34">
        <f>0.5+N3*0.1</f>
        <v>2.5</v>
      </c>
      <c r="M3" s="50" t="s">
        <v>5</v>
      </c>
      <c r="N3" s="2">
        <v>20</v>
      </c>
      <c r="P3" s="33" t="s">
        <v>137</v>
      </c>
      <c r="Q3" s="5">
        <v>100</v>
      </c>
      <c r="V3" s="7">
        <v>0</v>
      </c>
      <c r="W3" s="8">
        <f>L3</f>
        <v>2.5</v>
      </c>
      <c r="AA3" s="1" t="s">
        <v>3</v>
      </c>
      <c r="AB3" s="1">
        <v>2.5</v>
      </c>
    </row>
    <row r="4" spans="5:28" ht="18.75" customHeight="1">
      <c r="E4" s="37" t="s">
        <v>59</v>
      </c>
      <c r="F4" s="38">
        <f>H4</f>
        <v>71</v>
      </c>
      <c r="G4" s="35" t="s">
        <v>7</v>
      </c>
      <c r="H4" s="5">
        <v>71</v>
      </c>
      <c r="I4" s="2"/>
      <c r="K4" s="35" t="s">
        <v>135</v>
      </c>
      <c r="L4" s="36">
        <f>N4/10</f>
        <v>0.5</v>
      </c>
      <c r="M4" s="51" t="s">
        <v>5</v>
      </c>
      <c r="N4" s="2">
        <v>5</v>
      </c>
      <c r="AA4" s="1" t="s">
        <v>64</v>
      </c>
      <c r="AB4" s="1">
        <v>0.05</v>
      </c>
    </row>
    <row r="5" spans="7:30" ht="18.75" customHeight="1">
      <c r="G5" s="4"/>
      <c r="H5" s="2"/>
      <c r="I5" s="5">
        <v>160</v>
      </c>
      <c r="J5" s="2"/>
      <c r="K5" s="2"/>
      <c r="L5" s="2"/>
      <c r="M5" s="2"/>
      <c r="N5" s="2"/>
      <c r="V5" s="1" t="s">
        <v>27</v>
      </c>
      <c r="W5" s="7">
        <v>2.5</v>
      </c>
      <c r="AA5" s="1" t="s">
        <v>66</v>
      </c>
      <c r="AB5" s="1">
        <v>0.1</v>
      </c>
      <c r="AD5" s="6" t="s">
        <v>29</v>
      </c>
    </row>
    <row r="6" spans="2:30" ht="15.75">
      <c r="B6" s="2"/>
      <c r="C6" s="2"/>
      <c r="D6" s="2"/>
      <c r="L6" s="2"/>
      <c r="M6" s="2"/>
      <c r="N6" s="2"/>
      <c r="V6" s="7" t="s">
        <v>10</v>
      </c>
      <c r="W6" s="7" t="s">
        <v>11</v>
      </c>
      <c r="AA6" s="1" t="s">
        <v>67</v>
      </c>
      <c r="AB6" s="1">
        <v>0.5</v>
      </c>
      <c r="AD6" s="6" t="s">
        <v>48</v>
      </c>
    </row>
    <row r="7" spans="14:31" ht="15.75">
      <c r="N7" s="2"/>
      <c r="V7" s="7">
        <f>-W5</f>
        <v>-2.5</v>
      </c>
      <c r="W7" s="7">
        <v>0</v>
      </c>
      <c r="AA7" s="1" t="s">
        <v>68</v>
      </c>
      <c r="AB7" s="1">
        <v>0.5</v>
      </c>
      <c r="AD7" s="1" t="s">
        <v>36</v>
      </c>
      <c r="AE7" s="7">
        <v>90</v>
      </c>
    </row>
    <row r="8" spans="14:32" ht="15.75">
      <c r="N8" s="2"/>
      <c r="V8" s="7">
        <f>W5</f>
        <v>2.5</v>
      </c>
      <c r="W8" s="7">
        <v>0</v>
      </c>
      <c r="AB8" s="1" t="s">
        <v>10</v>
      </c>
      <c r="AC8" s="1" t="s">
        <v>11</v>
      </c>
      <c r="AD8" s="7" t="s">
        <v>37</v>
      </c>
      <c r="AE8" s="7">
        <v>0</v>
      </c>
      <c r="AF8" s="7"/>
    </row>
    <row r="9" spans="14:32" ht="15.75">
      <c r="N9" s="2"/>
      <c r="AB9" s="7">
        <f>$AB$2</f>
        <v>-0.05</v>
      </c>
      <c r="AC9" s="12">
        <f>AB3</f>
        <v>2.5</v>
      </c>
      <c r="AD9" s="13" t="s">
        <v>38</v>
      </c>
      <c r="AE9" s="14">
        <f>W17</f>
        <v>0.5590221955633065</v>
      </c>
      <c r="AF9" s="14"/>
    </row>
    <row r="10" spans="14:32" ht="15.75">
      <c r="N10" s="2"/>
      <c r="AB10" s="7">
        <f>$AB$2</f>
        <v>-0.05</v>
      </c>
      <c r="AC10" s="15">
        <f>$W$3-$AB$4</f>
        <v>2.45</v>
      </c>
      <c r="AD10" s="1" t="s">
        <v>35</v>
      </c>
      <c r="AE10" s="16">
        <f>-(AE8-AE7)/AE9</f>
        <v>160.99539645167442</v>
      </c>
      <c r="AF10" s="17" t="s">
        <v>39</v>
      </c>
    </row>
    <row r="11" spans="14:32" ht="15.75">
      <c r="N11" s="2"/>
      <c r="AB11" s="7">
        <f>$AB$2+AB5</f>
        <v>0.05</v>
      </c>
      <c r="AC11" s="15">
        <f>AC10</f>
        <v>2.45</v>
      </c>
      <c r="AE11" s="14">
        <f>AE10/180*PI()</f>
        <v>2.8098997486353143</v>
      </c>
      <c r="AF11" s="12" t="s">
        <v>40</v>
      </c>
    </row>
    <row r="12" spans="14:31" ht="15.75">
      <c r="N12" s="2"/>
      <c r="AB12" s="7">
        <f>$AB$2</f>
        <v>-0.05</v>
      </c>
      <c r="AC12" s="15">
        <f>AC10</f>
        <v>2.45</v>
      </c>
      <c r="AD12" s="1" t="s">
        <v>42</v>
      </c>
      <c r="AE12" s="14">
        <f>MAX(X24:X125)</f>
        <v>1.9249948802704517</v>
      </c>
    </row>
    <row r="13" spans="14:31" ht="15.75">
      <c r="N13" s="2"/>
      <c r="AB13" s="7">
        <f>$AB$2</f>
        <v>-0.05</v>
      </c>
      <c r="AC13" s="12">
        <v>0</v>
      </c>
      <c r="AD13" s="1" t="s">
        <v>41</v>
      </c>
      <c r="AE13" s="14">
        <f>IF(AE12&lt;W16,0,AE12-W16)</f>
        <v>1.2027943713498388</v>
      </c>
    </row>
    <row r="14" spans="22:32" ht="15.75">
      <c r="V14" s="6" t="s">
        <v>13</v>
      </c>
      <c r="AB14" s="7">
        <f>$AB$2-$AB$6</f>
        <v>-0.55</v>
      </c>
      <c r="AC14" s="12">
        <v>0</v>
      </c>
      <c r="AD14" s="1" t="s">
        <v>43</v>
      </c>
      <c r="AE14" s="16">
        <f>90-AE10*AE13</f>
        <v>-103.6443566653098</v>
      </c>
      <c r="AF14" s="1" t="s">
        <v>7</v>
      </c>
    </row>
    <row r="15" spans="22:32" ht="15.75">
      <c r="V15" s="1" t="s">
        <v>33</v>
      </c>
      <c r="W15" s="8">
        <v>2</v>
      </c>
      <c r="AB15" s="7">
        <f>$AB$2+$AB$7</f>
        <v>0.45</v>
      </c>
      <c r="AC15" s="12">
        <v>0</v>
      </c>
      <c r="AE15" s="14">
        <f>AE14/180*PI()</f>
        <v>-1.8089352749209866</v>
      </c>
      <c r="AF15" s="1" t="s">
        <v>44</v>
      </c>
    </row>
    <row r="16" spans="22:30" ht="15.75">
      <c r="V16" s="1" t="s">
        <v>32</v>
      </c>
      <c r="W16" s="22">
        <f>(2.5-W19)/W15</f>
        <v>0.722200508920613</v>
      </c>
      <c r="AA16" s="6" t="s">
        <v>19</v>
      </c>
      <c r="AB16" s="7"/>
      <c r="AD16" s="6" t="s">
        <v>49</v>
      </c>
    </row>
    <row r="17" spans="22:31" ht="15.75">
      <c r="V17" s="1" t="s">
        <v>21</v>
      </c>
      <c r="W17" s="1">
        <f>F3*SIN(F4/180*PI())/9.81</f>
        <v>0.5590221955633065</v>
      </c>
      <c r="AA17" s="1" t="s">
        <v>20</v>
      </c>
      <c r="AB17" s="8">
        <f>L4</f>
        <v>0.5</v>
      </c>
      <c r="AD17" s="1" t="s">
        <v>36</v>
      </c>
      <c r="AE17" s="7">
        <v>0</v>
      </c>
    </row>
    <row r="18" spans="22:32" ht="15.75">
      <c r="V18" s="1" t="s">
        <v>23</v>
      </c>
      <c r="W18" s="1">
        <f>AE29+F3*SIN(F4/180*PI())*W17-0.5*9.81*W17^2</f>
        <v>2.5328410232245187</v>
      </c>
      <c r="AA18" s="1" t="s">
        <v>28</v>
      </c>
      <c r="AB18" s="7">
        <v>50</v>
      </c>
      <c r="AD18" s="7" t="s">
        <v>37</v>
      </c>
      <c r="AE18" s="7">
        <v>180</v>
      </c>
      <c r="AF18" s="7"/>
    </row>
    <row r="19" spans="22:32" ht="15.75">
      <c r="V19" s="1" t="s">
        <v>136</v>
      </c>
      <c r="W19" s="1">
        <f>F3*COS(F4/180*PI())*W17</f>
        <v>1.055598982158774</v>
      </c>
      <c r="AA19" s="1" t="s">
        <v>26</v>
      </c>
      <c r="AB19" s="7">
        <f>AB17/AB18</f>
        <v>0.01</v>
      </c>
      <c r="AD19" s="13" t="s">
        <v>38</v>
      </c>
      <c r="AE19" s="14">
        <f>W20</f>
        <v>0.6437721757865319</v>
      </c>
      <c r="AF19" s="14"/>
    </row>
    <row r="20" spans="22:36" ht="15.75">
      <c r="V20" s="1" t="s">
        <v>22</v>
      </c>
      <c r="W20" s="1">
        <f>SQRT(2*(W18-AB17)/9.81)</f>
        <v>0.6437721757865319</v>
      </c>
      <c r="AA20" s="1" t="s">
        <v>14</v>
      </c>
      <c r="AB20" s="7" t="s">
        <v>10</v>
      </c>
      <c r="AC20" s="7" t="s">
        <v>11</v>
      </c>
      <c r="AD20" s="1" t="s">
        <v>50</v>
      </c>
      <c r="AE20" s="16">
        <f>-(AE18-AE17)/AE19</f>
        <v>-279.6020188043761</v>
      </c>
      <c r="AF20" s="17" t="s">
        <v>39</v>
      </c>
      <c r="AJ20" s="7" t="s">
        <v>115</v>
      </c>
    </row>
    <row r="21" spans="22:36" ht="15.75">
      <c r="V21" s="1" t="s">
        <v>24</v>
      </c>
      <c r="W21" s="1">
        <f>W16+W17+W20</f>
        <v>1.9249948802704515</v>
      </c>
      <c r="AA21" s="7">
        <v>0</v>
      </c>
      <c r="AB21" s="7">
        <v>0</v>
      </c>
      <c r="AC21" s="7">
        <f>AA21*$AB$19</f>
        <v>0</v>
      </c>
      <c r="AE21" s="14">
        <f>AE20/180*PI()</f>
        <v>-4.8799758233594615</v>
      </c>
      <c r="AF21" s="12" t="s">
        <v>40</v>
      </c>
      <c r="AJ21" s="7">
        <v>1500</v>
      </c>
    </row>
    <row r="22" spans="22:36" ht="15.75">
      <c r="V22" s="1" t="s">
        <v>16</v>
      </c>
      <c r="W22" s="1">
        <f>W21/100</f>
        <v>0.019249948802704517</v>
      </c>
      <c r="AA22" s="7">
        <v>0</v>
      </c>
      <c r="AB22" s="7">
        <f>$W$5</f>
        <v>2.5</v>
      </c>
      <c r="AC22" s="7">
        <f aca="true" t="shared" si="0" ref="AC22:AC27">AA22*$AB$19</f>
        <v>0</v>
      </c>
      <c r="AD22" s="1" t="s">
        <v>42</v>
      </c>
      <c r="AE22" s="14">
        <f>MAX(X34:X135)</f>
        <v>1.9249948802704517</v>
      </c>
      <c r="AJ22" s="7"/>
    </row>
    <row r="23" spans="22:36" ht="17.25">
      <c r="V23" s="22" t="s">
        <v>14</v>
      </c>
      <c r="W23" s="22" t="s">
        <v>34</v>
      </c>
      <c r="X23" s="22" t="s">
        <v>15</v>
      </c>
      <c r="Y23" s="22" t="s">
        <v>10</v>
      </c>
      <c r="Z23" s="22" t="s">
        <v>11</v>
      </c>
      <c r="AA23" s="7">
        <f>AA21+1</f>
        <v>1</v>
      </c>
      <c r="AB23" s="7">
        <f>AB21</f>
        <v>0</v>
      </c>
      <c r="AC23" s="7">
        <f t="shared" si="0"/>
        <v>0.01</v>
      </c>
      <c r="AD23" s="1" t="s">
        <v>41</v>
      </c>
      <c r="AE23" s="14">
        <f>AE22-W16-W17</f>
        <v>0.6437721757865323</v>
      </c>
      <c r="AG23" s="7" t="s">
        <v>56</v>
      </c>
      <c r="AH23" s="7" t="s">
        <v>57</v>
      </c>
      <c r="AI23" s="1" t="s">
        <v>58</v>
      </c>
      <c r="AJ23" s="7" t="s">
        <v>114</v>
      </c>
    </row>
    <row r="24" spans="22:37" ht="15.75">
      <c r="V24" s="7">
        <v>0</v>
      </c>
      <c r="W24" s="16">
        <f aca="true" t="shared" si="1" ref="W24:W55">MIN(V24,$Q$3)</f>
        <v>0</v>
      </c>
      <c r="X24" s="14">
        <f>W24*$W$22</f>
        <v>0</v>
      </c>
      <c r="Y24" s="14">
        <f aca="true" t="shared" si="2" ref="Y24:Y55">IF(X24&lt;$W$16,-$W$5+$W$15*X24,-$W$19+$F$3*COS($F$4/180*PI())*(X24-$W$16))</f>
        <v>-2.5</v>
      </c>
      <c r="Z24" s="8">
        <f aca="true" t="shared" si="3" ref="Z24:Z55">IF(X24&lt;$W$16,$AE$29,$AE$29+$F$3*SIN($F$4/180*PI())*(X24-$W$16)-0.5*9.81*(X24-$W$16)^2)</f>
        <v>1</v>
      </c>
      <c r="AA24" s="7">
        <f aca="true" t="shared" si="4" ref="AA24:AA87">AA22+1</f>
        <v>1</v>
      </c>
      <c r="AB24" s="7">
        <f aca="true" t="shared" si="5" ref="AB24:AB87">AB22</f>
        <v>2.5</v>
      </c>
      <c r="AC24" s="7">
        <f t="shared" si="0"/>
        <v>0.01</v>
      </c>
      <c r="AD24" s="1" t="s">
        <v>43</v>
      </c>
      <c r="AE24" s="16">
        <f>AE20*AE23</f>
        <v>-180.0000000000001</v>
      </c>
      <c r="AF24" s="1" t="s">
        <v>7</v>
      </c>
      <c r="AG24" s="8">
        <f aca="true" t="shared" si="6" ref="AG24:AG55">$F$2*9.81*Z24</f>
        <v>784.8000000000001</v>
      </c>
      <c r="AH24" s="8">
        <f>$AG$24+$AI$24+$AJ$24</f>
        <v>2444.8</v>
      </c>
      <c r="AI24" s="8">
        <f aca="true" t="shared" si="7" ref="AI24:AI55">IF(X24&lt;$W$16,0.5*$F$2*$W$15^2,AH24-AG24)</f>
        <v>160</v>
      </c>
      <c r="AJ24" s="8">
        <f>$AJ$21</f>
        <v>1500</v>
      </c>
      <c r="AK24" s="30"/>
    </row>
    <row r="25" spans="22:36" ht="15.75">
      <c r="V25" s="16">
        <v>1</v>
      </c>
      <c r="W25" s="16">
        <f t="shared" si="1"/>
        <v>1</v>
      </c>
      <c r="X25" s="14">
        <f aca="true" t="shared" si="8" ref="X25:X88">W25*$W$22</f>
        <v>0.019249948802704517</v>
      </c>
      <c r="Y25" s="14">
        <f t="shared" si="2"/>
        <v>-2.461500102394591</v>
      </c>
      <c r="Z25" s="8">
        <f t="shared" si="3"/>
        <v>1</v>
      </c>
      <c r="AA25" s="7">
        <f t="shared" si="4"/>
        <v>2</v>
      </c>
      <c r="AB25" s="7">
        <f t="shared" si="5"/>
        <v>0</v>
      </c>
      <c r="AC25" s="7">
        <f t="shared" si="0"/>
        <v>0.02</v>
      </c>
      <c r="AE25" s="14">
        <f>AE24/180*PI()</f>
        <v>-3.1415926535897953</v>
      </c>
      <c r="AF25" s="1" t="s">
        <v>44</v>
      </c>
      <c r="AG25" s="8">
        <f t="shared" si="6"/>
        <v>784.8000000000001</v>
      </c>
      <c r="AH25" s="8">
        <f aca="true" t="shared" si="9" ref="AH25:AH88">$AG$24+$AI$24+$AJ$24</f>
        <v>2444.8</v>
      </c>
      <c r="AI25" s="8">
        <f t="shared" si="7"/>
        <v>160</v>
      </c>
      <c r="AJ25" s="8">
        <f>AH25-AG25-AI25</f>
        <v>1500</v>
      </c>
    </row>
    <row r="26" spans="22:36" ht="15.75">
      <c r="V26" s="16">
        <v>2</v>
      </c>
      <c r="W26" s="16">
        <f t="shared" si="1"/>
        <v>2</v>
      </c>
      <c r="X26" s="14">
        <f t="shared" si="8"/>
        <v>0.038499897605409034</v>
      </c>
      <c r="Y26" s="14">
        <f t="shared" si="2"/>
        <v>-2.423000204789182</v>
      </c>
      <c r="Z26" s="8">
        <f t="shared" si="3"/>
        <v>1</v>
      </c>
      <c r="AA26" s="7">
        <f t="shared" si="4"/>
        <v>2</v>
      </c>
      <c r="AB26" s="7">
        <f t="shared" si="5"/>
        <v>2.5</v>
      </c>
      <c r="AC26" s="7">
        <f t="shared" si="0"/>
        <v>0.02</v>
      </c>
      <c r="AG26" s="8">
        <f t="shared" si="6"/>
        <v>784.8000000000001</v>
      </c>
      <c r="AH26" s="8">
        <f t="shared" si="9"/>
        <v>2444.8</v>
      </c>
      <c r="AI26" s="8">
        <f t="shared" si="7"/>
        <v>160</v>
      </c>
      <c r="AJ26" s="8">
        <f aca="true" t="shared" si="10" ref="AJ26:AJ89">AH26-AG26-AI26</f>
        <v>1500</v>
      </c>
    </row>
    <row r="27" spans="22:36" ht="15.75">
      <c r="V27" s="16">
        <v>3</v>
      </c>
      <c r="W27" s="16">
        <f t="shared" si="1"/>
        <v>3</v>
      </c>
      <c r="X27" s="14">
        <f t="shared" si="8"/>
        <v>0.05774984640811355</v>
      </c>
      <c r="Y27" s="14">
        <f t="shared" si="2"/>
        <v>-2.3845003071837727</v>
      </c>
      <c r="Z27" s="8">
        <f t="shared" si="3"/>
        <v>1</v>
      </c>
      <c r="AA27" s="7">
        <f t="shared" si="4"/>
        <v>3</v>
      </c>
      <c r="AB27" s="7">
        <f t="shared" si="5"/>
        <v>0</v>
      </c>
      <c r="AC27" s="7">
        <f t="shared" si="0"/>
        <v>0.03</v>
      </c>
      <c r="AD27" s="1" t="s">
        <v>51</v>
      </c>
      <c r="AE27" s="24">
        <f>AE15</f>
        <v>-1.8089352749209866</v>
      </c>
      <c r="AG27" s="8">
        <f t="shared" si="6"/>
        <v>784.8000000000001</v>
      </c>
      <c r="AH27" s="8">
        <f t="shared" si="9"/>
        <v>2444.8</v>
      </c>
      <c r="AI27" s="8">
        <f t="shared" si="7"/>
        <v>160</v>
      </c>
      <c r="AJ27" s="8">
        <f t="shared" si="10"/>
        <v>1500</v>
      </c>
    </row>
    <row r="28" spans="22:36" ht="15.75">
      <c r="V28" s="16">
        <v>3</v>
      </c>
      <c r="W28" s="16">
        <f t="shared" si="1"/>
        <v>3</v>
      </c>
      <c r="X28" s="14">
        <f t="shared" si="8"/>
        <v>0.05774984640811355</v>
      </c>
      <c r="Y28" s="14">
        <f t="shared" si="2"/>
        <v>-2.3845003071837727</v>
      </c>
      <c r="Z28" s="8">
        <f t="shared" si="3"/>
        <v>1</v>
      </c>
      <c r="AA28" s="7">
        <f t="shared" si="4"/>
        <v>3</v>
      </c>
      <c r="AB28" s="7">
        <f t="shared" si="5"/>
        <v>2.5</v>
      </c>
      <c r="AC28" s="7">
        <f aca="true" t="shared" si="11" ref="AC28:AC49">AA28*$AB$19</f>
        <v>0.03</v>
      </c>
      <c r="AD28" s="1" t="s">
        <v>52</v>
      </c>
      <c r="AE28" s="24">
        <f>AE25</f>
        <v>-3.1415926535897953</v>
      </c>
      <c r="AG28" s="8">
        <f t="shared" si="6"/>
        <v>784.8000000000001</v>
      </c>
      <c r="AH28" s="8">
        <f t="shared" si="9"/>
        <v>2444.8</v>
      </c>
      <c r="AI28" s="8">
        <f t="shared" si="7"/>
        <v>160</v>
      </c>
      <c r="AJ28" s="8">
        <f t="shared" si="10"/>
        <v>1500</v>
      </c>
    </row>
    <row r="29" spans="22:36" ht="15.75">
      <c r="V29" s="16">
        <v>4</v>
      </c>
      <c r="W29" s="16">
        <f t="shared" si="1"/>
        <v>4</v>
      </c>
      <c r="X29" s="14">
        <f t="shared" si="8"/>
        <v>0.07699979521081807</v>
      </c>
      <c r="Y29" s="14">
        <f t="shared" si="2"/>
        <v>-2.3460004095783638</v>
      </c>
      <c r="Z29" s="8">
        <f t="shared" si="3"/>
        <v>1</v>
      </c>
      <c r="AA29" s="7">
        <f t="shared" si="4"/>
        <v>4</v>
      </c>
      <c r="AB29" s="7">
        <f t="shared" si="5"/>
        <v>0</v>
      </c>
      <c r="AC29" s="7">
        <f t="shared" si="11"/>
        <v>0.04</v>
      </c>
      <c r="AD29" s="21" t="s">
        <v>17</v>
      </c>
      <c r="AE29" s="14">
        <v>1</v>
      </c>
      <c r="AG29" s="8">
        <f t="shared" si="6"/>
        <v>784.8000000000001</v>
      </c>
      <c r="AH29" s="8">
        <f t="shared" si="9"/>
        <v>2444.8</v>
      </c>
      <c r="AI29" s="8">
        <f t="shared" si="7"/>
        <v>160</v>
      </c>
      <c r="AJ29" s="8">
        <f t="shared" si="10"/>
        <v>1500</v>
      </c>
    </row>
    <row r="30" spans="22:36" ht="15.75">
      <c r="V30" s="16">
        <v>5</v>
      </c>
      <c r="W30" s="16">
        <f t="shared" si="1"/>
        <v>5</v>
      </c>
      <c r="X30" s="14">
        <f t="shared" si="8"/>
        <v>0.09624974401352258</v>
      </c>
      <c r="Y30" s="14">
        <f t="shared" si="2"/>
        <v>-2.307500511972955</v>
      </c>
      <c r="Z30" s="8">
        <f t="shared" si="3"/>
        <v>1</v>
      </c>
      <c r="AA30" s="7">
        <f t="shared" si="4"/>
        <v>4</v>
      </c>
      <c r="AB30" s="7">
        <f t="shared" si="5"/>
        <v>2.5</v>
      </c>
      <c r="AC30" s="7">
        <f t="shared" si="11"/>
        <v>0.04</v>
      </c>
      <c r="AD30" s="21" t="s">
        <v>30</v>
      </c>
      <c r="AE30" s="7">
        <v>1.9</v>
      </c>
      <c r="AG30" s="8">
        <f t="shared" si="6"/>
        <v>784.8000000000001</v>
      </c>
      <c r="AH30" s="8">
        <f t="shared" si="9"/>
        <v>2444.8</v>
      </c>
      <c r="AI30" s="8">
        <f t="shared" si="7"/>
        <v>160</v>
      </c>
      <c r="AJ30" s="8">
        <f t="shared" si="10"/>
        <v>1500</v>
      </c>
    </row>
    <row r="31" spans="22:36" ht="15.75">
      <c r="V31" s="16">
        <v>6</v>
      </c>
      <c r="W31" s="16">
        <f t="shared" si="1"/>
        <v>6</v>
      </c>
      <c r="X31" s="14">
        <f t="shared" si="8"/>
        <v>0.1154996928162271</v>
      </c>
      <c r="Y31" s="14">
        <f t="shared" si="2"/>
        <v>-2.269000614367546</v>
      </c>
      <c r="Z31" s="8">
        <f t="shared" si="3"/>
        <v>1</v>
      </c>
      <c r="AA31" s="7">
        <f t="shared" si="4"/>
        <v>5</v>
      </c>
      <c r="AB31" s="7">
        <f t="shared" si="5"/>
        <v>0</v>
      </c>
      <c r="AC31" s="7">
        <f t="shared" si="11"/>
        <v>0.05</v>
      </c>
      <c r="AE31" s="7" t="s">
        <v>10</v>
      </c>
      <c r="AF31" s="7" t="s">
        <v>11</v>
      </c>
      <c r="AG31" s="8">
        <f t="shared" si="6"/>
        <v>784.8000000000001</v>
      </c>
      <c r="AH31" s="8">
        <f t="shared" si="9"/>
        <v>2444.8</v>
      </c>
      <c r="AI31" s="8">
        <f t="shared" si="7"/>
        <v>160</v>
      </c>
      <c r="AJ31" s="8">
        <f t="shared" si="10"/>
        <v>1500</v>
      </c>
    </row>
    <row r="32" spans="22:36" ht="15.75">
      <c r="V32" s="16">
        <v>7</v>
      </c>
      <c r="W32" s="16">
        <f t="shared" si="1"/>
        <v>7</v>
      </c>
      <c r="X32" s="14">
        <f t="shared" si="8"/>
        <v>0.1347496416189316</v>
      </c>
      <c r="Y32" s="14">
        <f t="shared" si="2"/>
        <v>-2.230500716762137</v>
      </c>
      <c r="Z32" s="8">
        <f t="shared" si="3"/>
        <v>1</v>
      </c>
      <c r="AA32" s="7">
        <f t="shared" si="4"/>
        <v>5</v>
      </c>
      <c r="AB32" s="7">
        <f t="shared" si="5"/>
        <v>2.5</v>
      </c>
      <c r="AC32" s="7">
        <f t="shared" si="11"/>
        <v>0.05</v>
      </c>
      <c r="AD32" s="21" t="s">
        <v>45</v>
      </c>
      <c r="AE32" s="14">
        <f>IF(AE23&lt;0,$AE$33-$AE$29*COS(AE27),$AE$33-$AE$29*COS(AE28))</f>
        <v>2.2156319711377996</v>
      </c>
      <c r="AF32" s="14">
        <f>IF(AE23&lt;0,$AF$33-$AE$29*SIN($AE$27),IF($AF$33-$AE$29*SIN($AE$28)&lt;$AB$17,$AB$17,$AF$33-$AE$29*SIN($AE$28)))</f>
        <v>0.5</v>
      </c>
      <c r="AG32" s="8">
        <f t="shared" si="6"/>
        <v>784.8000000000001</v>
      </c>
      <c r="AH32" s="8">
        <f t="shared" si="9"/>
        <v>2444.8</v>
      </c>
      <c r="AI32" s="8">
        <f t="shared" si="7"/>
        <v>160</v>
      </c>
      <c r="AJ32" s="8">
        <f t="shared" si="10"/>
        <v>1500</v>
      </c>
    </row>
    <row r="33" spans="22:36" ht="15.75">
      <c r="V33" s="16">
        <v>8</v>
      </c>
      <c r="W33" s="16">
        <f t="shared" si="1"/>
        <v>8</v>
      </c>
      <c r="X33" s="14">
        <f t="shared" si="8"/>
        <v>0.15399959042163613</v>
      </c>
      <c r="Y33" s="14">
        <f t="shared" si="2"/>
        <v>-2.1920008191567275</v>
      </c>
      <c r="Z33" s="8">
        <f t="shared" si="3"/>
        <v>1</v>
      </c>
      <c r="AA33" s="7">
        <f t="shared" si="4"/>
        <v>6</v>
      </c>
      <c r="AB33" s="7">
        <f t="shared" si="5"/>
        <v>0</v>
      </c>
      <c r="AC33" s="7">
        <f t="shared" si="11"/>
        <v>0.06</v>
      </c>
      <c r="AD33" s="21" t="s">
        <v>46</v>
      </c>
      <c r="AE33" s="14">
        <f>MAX(Y24:Y125)</f>
        <v>1.2156319711377999</v>
      </c>
      <c r="AF33" s="14">
        <f>VLOOKUP(AE33,Y24:Z125,2,FALSE)</f>
        <v>0.49999999999999645</v>
      </c>
      <c r="AG33" s="8">
        <f t="shared" si="6"/>
        <v>784.8000000000001</v>
      </c>
      <c r="AH33" s="8">
        <f t="shared" si="9"/>
        <v>2444.8</v>
      </c>
      <c r="AI33" s="8">
        <f t="shared" si="7"/>
        <v>160</v>
      </c>
      <c r="AJ33" s="8">
        <f t="shared" si="10"/>
        <v>1500</v>
      </c>
    </row>
    <row r="34" spans="22:36" ht="15.75">
      <c r="V34" s="16">
        <v>9</v>
      </c>
      <c r="W34" s="16">
        <f t="shared" si="1"/>
        <v>9</v>
      </c>
      <c r="X34" s="14">
        <f t="shared" si="8"/>
        <v>0.17324953922434067</v>
      </c>
      <c r="Y34" s="14">
        <f t="shared" si="2"/>
        <v>-2.1535009215513186</v>
      </c>
      <c r="Z34" s="8">
        <f t="shared" si="3"/>
        <v>1</v>
      </c>
      <c r="AA34" s="7">
        <f t="shared" si="4"/>
        <v>6</v>
      </c>
      <c r="AB34" s="7">
        <f t="shared" si="5"/>
        <v>2.5</v>
      </c>
      <c r="AC34" s="7">
        <f t="shared" si="11"/>
        <v>0.06</v>
      </c>
      <c r="AD34" s="21" t="s">
        <v>47</v>
      </c>
      <c r="AE34" s="14">
        <f>IF(AE23&lt;0,$AE$33+($AE$30-$AE$29)*COS($AE$27),$AE$33+($AE$30-$AE$29)*COS($AE$28))</f>
        <v>0.31563197113779995</v>
      </c>
      <c r="AF34" s="14">
        <f>IF(AE23&lt;0,$AF$33+($AE$30-$AE$29)*SIN($AE$27),IF($AF$33+($AE$30-$AE$29)*SIN($AE$28)&lt;$AB$17,$AB$17,$AF$33+($AE$30-$AE$29)*SIN($AE$28)))</f>
        <v>0.5</v>
      </c>
      <c r="AG34" s="8">
        <f t="shared" si="6"/>
        <v>784.8000000000001</v>
      </c>
      <c r="AH34" s="8">
        <f t="shared" si="9"/>
        <v>2444.8</v>
      </c>
      <c r="AI34" s="8">
        <f t="shared" si="7"/>
        <v>160</v>
      </c>
      <c r="AJ34" s="8">
        <f t="shared" si="10"/>
        <v>1500</v>
      </c>
    </row>
    <row r="35" spans="22:36" ht="15.75">
      <c r="V35" s="16">
        <v>10</v>
      </c>
      <c r="W35" s="16">
        <f t="shared" si="1"/>
        <v>10</v>
      </c>
      <c r="X35" s="14">
        <f t="shared" si="8"/>
        <v>0.19249948802704517</v>
      </c>
      <c r="Y35" s="14">
        <f t="shared" si="2"/>
        <v>-2.1150010239459096</v>
      </c>
      <c r="Z35" s="8">
        <f t="shared" si="3"/>
        <v>1</v>
      </c>
      <c r="AA35" s="7">
        <f t="shared" si="4"/>
        <v>7</v>
      </c>
      <c r="AB35" s="7">
        <f t="shared" si="5"/>
        <v>0</v>
      </c>
      <c r="AC35" s="7">
        <f t="shared" si="11"/>
        <v>0.07</v>
      </c>
      <c r="AG35" s="8">
        <f t="shared" si="6"/>
        <v>784.8000000000001</v>
      </c>
      <c r="AH35" s="8">
        <f t="shared" si="9"/>
        <v>2444.8</v>
      </c>
      <c r="AI35" s="8">
        <f t="shared" si="7"/>
        <v>160</v>
      </c>
      <c r="AJ35" s="8">
        <f t="shared" si="10"/>
        <v>1500</v>
      </c>
    </row>
    <row r="36" spans="22:36" ht="15.75">
      <c r="V36" s="16">
        <v>11</v>
      </c>
      <c r="W36" s="16">
        <f t="shared" si="1"/>
        <v>11</v>
      </c>
      <c r="X36" s="14">
        <f t="shared" si="8"/>
        <v>0.21174943682974967</v>
      </c>
      <c r="Y36" s="14">
        <f t="shared" si="2"/>
        <v>-2.0765011263405007</v>
      </c>
      <c r="Z36" s="8">
        <f t="shared" si="3"/>
        <v>1</v>
      </c>
      <c r="AA36" s="7">
        <f t="shared" si="4"/>
        <v>7</v>
      </c>
      <c r="AB36" s="7">
        <f t="shared" si="5"/>
        <v>2.5</v>
      </c>
      <c r="AC36" s="7">
        <f t="shared" si="11"/>
        <v>0.07</v>
      </c>
      <c r="AG36" s="8">
        <f t="shared" si="6"/>
        <v>784.8000000000001</v>
      </c>
      <c r="AH36" s="8">
        <f t="shared" si="9"/>
        <v>2444.8</v>
      </c>
      <c r="AI36" s="8">
        <f t="shared" si="7"/>
        <v>160</v>
      </c>
      <c r="AJ36" s="8">
        <f t="shared" si="10"/>
        <v>1500</v>
      </c>
    </row>
    <row r="37" spans="22:36" ht="15.75">
      <c r="V37" s="16">
        <v>12</v>
      </c>
      <c r="W37" s="16">
        <f t="shared" si="1"/>
        <v>12</v>
      </c>
      <c r="X37" s="14">
        <f t="shared" si="8"/>
        <v>0.2309993856324542</v>
      </c>
      <c r="Y37" s="14">
        <f t="shared" si="2"/>
        <v>-2.0380012287350917</v>
      </c>
      <c r="Z37" s="8">
        <f t="shared" si="3"/>
        <v>1</v>
      </c>
      <c r="AA37" s="7">
        <f t="shared" si="4"/>
        <v>8</v>
      </c>
      <c r="AB37" s="7">
        <f t="shared" si="5"/>
        <v>0</v>
      </c>
      <c r="AC37" s="7">
        <f t="shared" si="11"/>
        <v>0.08</v>
      </c>
      <c r="AG37" s="8">
        <f t="shared" si="6"/>
        <v>784.8000000000001</v>
      </c>
      <c r="AH37" s="8">
        <f t="shared" si="9"/>
        <v>2444.8</v>
      </c>
      <c r="AI37" s="8">
        <f t="shared" si="7"/>
        <v>160</v>
      </c>
      <c r="AJ37" s="8">
        <f t="shared" si="10"/>
        <v>1500</v>
      </c>
    </row>
    <row r="38" spans="22:36" ht="15.75">
      <c r="V38" s="16">
        <v>13</v>
      </c>
      <c r="W38" s="16">
        <f t="shared" si="1"/>
        <v>13</v>
      </c>
      <c r="X38" s="14">
        <f t="shared" si="8"/>
        <v>0.25024933443515873</v>
      </c>
      <c r="Y38" s="14">
        <f t="shared" si="2"/>
        <v>-1.9995013311296825</v>
      </c>
      <c r="Z38" s="8">
        <f t="shared" si="3"/>
        <v>1</v>
      </c>
      <c r="AA38" s="7">
        <f t="shared" si="4"/>
        <v>8</v>
      </c>
      <c r="AB38" s="7">
        <f t="shared" si="5"/>
        <v>2.5</v>
      </c>
      <c r="AC38" s="7">
        <f t="shared" si="11"/>
        <v>0.08</v>
      </c>
      <c r="AG38" s="8">
        <f t="shared" si="6"/>
        <v>784.8000000000001</v>
      </c>
      <c r="AH38" s="8">
        <f t="shared" si="9"/>
        <v>2444.8</v>
      </c>
      <c r="AI38" s="8">
        <f t="shared" si="7"/>
        <v>160</v>
      </c>
      <c r="AJ38" s="8">
        <f t="shared" si="10"/>
        <v>1500</v>
      </c>
    </row>
    <row r="39" spans="22:36" ht="15.75">
      <c r="V39" s="16">
        <v>14</v>
      </c>
      <c r="W39" s="16">
        <f t="shared" si="1"/>
        <v>14</v>
      </c>
      <c r="X39" s="14">
        <f t="shared" si="8"/>
        <v>0.2694992832378632</v>
      </c>
      <c r="Y39" s="14">
        <f t="shared" si="2"/>
        <v>-1.9610014335242736</v>
      </c>
      <c r="Z39" s="8">
        <f t="shared" si="3"/>
        <v>1</v>
      </c>
      <c r="AA39" s="7">
        <f>AA37+1</f>
        <v>9</v>
      </c>
      <c r="AB39" s="7">
        <f t="shared" si="5"/>
        <v>0</v>
      </c>
      <c r="AC39" s="7">
        <f t="shared" si="11"/>
        <v>0.09</v>
      </c>
      <c r="AG39" s="8">
        <f t="shared" si="6"/>
        <v>784.8000000000001</v>
      </c>
      <c r="AH39" s="8">
        <f t="shared" si="9"/>
        <v>2444.8</v>
      </c>
      <c r="AI39" s="8">
        <f t="shared" si="7"/>
        <v>160</v>
      </c>
      <c r="AJ39" s="8">
        <f t="shared" si="10"/>
        <v>1500</v>
      </c>
    </row>
    <row r="40" spans="22:36" ht="15.75">
      <c r="V40" s="16">
        <v>15</v>
      </c>
      <c r="W40" s="16">
        <f t="shared" si="1"/>
        <v>15</v>
      </c>
      <c r="X40" s="14">
        <f t="shared" si="8"/>
        <v>0.28874923204056774</v>
      </c>
      <c r="Y40" s="14">
        <f t="shared" si="2"/>
        <v>-1.9225015359188644</v>
      </c>
      <c r="Z40" s="8">
        <f t="shared" si="3"/>
        <v>1</v>
      </c>
      <c r="AA40" s="7">
        <f t="shared" si="4"/>
        <v>9</v>
      </c>
      <c r="AB40" s="7">
        <f t="shared" si="5"/>
        <v>2.5</v>
      </c>
      <c r="AC40" s="7">
        <f t="shared" si="11"/>
        <v>0.09</v>
      </c>
      <c r="AG40" s="8">
        <f t="shared" si="6"/>
        <v>784.8000000000001</v>
      </c>
      <c r="AH40" s="8">
        <f t="shared" si="9"/>
        <v>2444.8</v>
      </c>
      <c r="AI40" s="8">
        <f t="shared" si="7"/>
        <v>160</v>
      </c>
      <c r="AJ40" s="8">
        <f t="shared" si="10"/>
        <v>1500</v>
      </c>
    </row>
    <row r="41" spans="22:36" ht="15.75">
      <c r="V41" s="16">
        <v>16</v>
      </c>
      <c r="W41" s="16">
        <f t="shared" si="1"/>
        <v>16</v>
      </c>
      <c r="X41" s="14">
        <f t="shared" si="8"/>
        <v>0.30799918084327227</v>
      </c>
      <c r="Y41" s="14">
        <f t="shared" si="2"/>
        <v>-1.8840016383134555</v>
      </c>
      <c r="Z41" s="8">
        <f t="shared" si="3"/>
        <v>1</v>
      </c>
      <c r="AA41" s="7">
        <f t="shared" si="4"/>
        <v>10</v>
      </c>
      <c r="AB41" s="7">
        <f t="shared" si="5"/>
        <v>0</v>
      </c>
      <c r="AC41" s="7">
        <f t="shared" si="11"/>
        <v>0.1</v>
      </c>
      <c r="AG41" s="8">
        <f t="shared" si="6"/>
        <v>784.8000000000001</v>
      </c>
      <c r="AH41" s="8">
        <f t="shared" si="9"/>
        <v>2444.8</v>
      </c>
      <c r="AI41" s="8">
        <f t="shared" si="7"/>
        <v>160</v>
      </c>
      <c r="AJ41" s="8">
        <f t="shared" si="10"/>
        <v>1500</v>
      </c>
    </row>
    <row r="42" spans="22:36" ht="15.75">
      <c r="V42" s="16">
        <v>17</v>
      </c>
      <c r="W42" s="16">
        <f t="shared" si="1"/>
        <v>17</v>
      </c>
      <c r="X42" s="14">
        <f t="shared" si="8"/>
        <v>0.3272491296459768</v>
      </c>
      <c r="Y42" s="14">
        <f t="shared" si="2"/>
        <v>-1.8455017407080465</v>
      </c>
      <c r="Z42" s="8">
        <f t="shared" si="3"/>
        <v>1</v>
      </c>
      <c r="AA42" s="7">
        <f t="shared" si="4"/>
        <v>10</v>
      </c>
      <c r="AB42" s="7">
        <f t="shared" si="5"/>
        <v>2.5</v>
      </c>
      <c r="AC42" s="7">
        <f t="shared" si="11"/>
        <v>0.1</v>
      </c>
      <c r="AG42" s="8">
        <f t="shared" si="6"/>
        <v>784.8000000000001</v>
      </c>
      <c r="AH42" s="8">
        <f t="shared" si="9"/>
        <v>2444.8</v>
      </c>
      <c r="AI42" s="8">
        <f t="shared" si="7"/>
        <v>160</v>
      </c>
      <c r="AJ42" s="8">
        <f t="shared" si="10"/>
        <v>1500</v>
      </c>
    </row>
    <row r="43" spans="22:36" ht="15.75">
      <c r="V43" s="16">
        <v>18</v>
      </c>
      <c r="W43" s="16">
        <f t="shared" si="1"/>
        <v>18</v>
      </c>
      <c r="X43" s="14">
        <f>W43*$W$22</f>
        <v>0.34649907844868133</v>
      </c>
      <c r="Y43" s="14">
        <f t="shared" si="2"/>
        <v>-1.8070018431026373</v>
      </c>
      <c r="Z43" s="8">
        <f t="shared" si="3"/>
        <v>1</v>
      </c>
      <c r="AA43" s="7">
        <f t="shared" si="4"/>
        <v>11</v>
      </c>
      <c r="AB43" s="7">
        <f t="shared" si="5"/>
        <v>0</v>
      </c>
      <c r="AC43" s="7">
        <f t="shared" si="11"/>
        <v>0.11</v>
      </c>
      <c r="AG43" s="8">
        <f t="shared" si="6"/>
        <v>784.8000000000001</v>
      </c>
      <c r="AH43" s="8">
        <f t="shared" si="9"/>
        <v>2444.8</v>
      </c>
      <c r="AI43" s="8">
        <f t="shared" si="7"/>
        <v>160</v>
      </c>
      <c r="AJ43" s="8">
        <f t="shared" si="10"/>
        <v>1500</v>
      </c>
    </row>
    <row r="44" spans="22:36" ht="15.75">
      <c r="V44" s="16">
        <v>19</v>
      </c>
      <c r="W44" s="16">
        <f t="shared" si="1"/>
        <v>19</v>
      </c>
      <c r="X44" s="14">
        <f t="shared" si="8"/>
        <v>0.3657490272513858</v>
      </c>
      <c r="Y44" s="14">
        <f t="shared" si="2"/>
        <v>-1.7685019454972284</v>
      </c>
      <c r="Z44" s="8">
        <f t="shared" si="3"/>
        <v>1</v>
      </c>
      <c r="AA44" s="7">
        <f t="shared" si="4"/>
        <v>11</v>
      </c>
      <c r="AB44" s="7">
        <f t="shared" si="5"/>
        <v>2.5</v>
      </c>
      <c r="AC44" s="7">
        <f t="shared" si="11"/>
        <v>0.11</v>
      </c>
      <c r="AG44" s="8">
        <f t="shared" si="6"/>
        <v>784.8000000000001</v>
      </c>
      <c r="AH44" s="8">
        <f t="shared" si="9"/>
        <v>2444.8</v>
      </c>
      <c r="AI44" s="8">
        <f t="shared" si="7"/>
        <v>160</v>
      </c>
      <c r="AJ44" s="8">
        <f t="shared" si="10"/>
        <v>1500</v>
      </c>
    </row>
    <row r="45" spans="22:36" ht="15.75">
      <c r="V45" s="16">
        <v>20</v>
      </c>
      <c r="W45" s="16">
        <f t="shared" si="1"/>
        <v>20</v>
      </c>
      <c r="X45" s="14">
        <f t="shared" si="8"/>
        <v>0.38499897605409034</v>
      </c>
      <c r="Y45" s="14">
        <f t="shared" si="2"/>
        <v>-1.7300020478918192</v>
      </c>
      <c r="Z45" s="8">
        <f t="shared" si="3"/>
        <v>1</v>
      </c>
      <c r="AA45" s="7">
        <f t="shared" si="4"/>
        <v>12</v>
      </c>
      <c r="AB45" s="7">
        <f t="shared" si="5"/>
        <v>0</v>
      </c>
      <c r="AC45" s="7">
        <f t="shared" si="11"/>
        <v>0.12</v>
      </c>
      <c r="AG45" s="8">
        <f t="shared" si="6"/>
        <v>784.8000000000001</v>
      </c>
      <c r="AH45" s="8">
        <f t="shared" si="9"/>
        <v>2444.8</v>
      </c>
      <c r="AI45" s="8">
        <f t="shared" si="7"/>
        <v>160</v>
      </c>
      <c r="AJ45" s="8">
        <f t="shared" si="10"/>
        <v>1500</v>
      </c>
    </row>
    <row r="46" spans="22:36" ht="15.75">
      <c r="V46" s="16">
        <v>21</v>
      </c>
      <c r="W46" s="16">
        <f t="shared" si="1"/>
        <v>21</v>
      </c>
      <c r="X46" s="14">
        <f t="shared" si="8"/>
        <v>0.40424892485679487</v>
      </c>
      <c r="Y46" s="14">
        <f t="shared" si="2"/>
        <v>-1.6915021502864103</v>
      </c>
      <c r="Z46" s="8">
        <f t="shared" si="3"/>
        <v>1</v>
      </c>
      <c r="AA46" s="7">
        <f t="shared" si="4"/>
        <v>12</v>
      </c>
      <c r="AB46" s="7">
        <f t="shared" si="5"/>
        <v>2.5</v>
      </c>
      <c r="AC46" s="7">
        <f t="shared" si="11"/>
        <v>0.12</v>
      </c>
      <c r="AG46" s="8">
        <f t="shared" si="6"/>
        <v>784.8000000000001</v>
      </c>
      <c r="AH46" s="8">
        <f t="shared" si="9"/>
        <v>2444.8</v>
      </c>
      <c r="AI46" s="8">
        <f t="shared" si="7"/>
        <v>160</v>
      </c>
      <c r="AJ46" s="8">
        <f t="shared" si="10"/>
        <v>1500</v>
      </c>
    </row>
    <row r="47" spans="22:36" ht="15.75">
      <c r="V47" s="16">
        <v>22</v>
      </c>
      <c r="W47" s="16">
        <f t="shared" si="1"/>
        <v>22</v>
      </c>
      <c r="X47" s="14">
        <f t="shared" si="8"/>
        <v>0.42349887365949934</v>
      </c>
      <c r="Y47" s="14">
        <f t="shared" si="2"/>
        <v>-1.6530022526810013</v>
      </c>
      <c r="Z47" s="8">
        <f t="shared" si="3"/>
        <v>1</v>
      </c>
      <c r="AA47" s="7">
        <f t="shared" si="4"/>
        <v>13</v>
      </c>
      <c r="AB47" s="7">
        <f t="shared" si="5"/>
        <v>0</v>
      </c>
      <c r="AC47" s="7">
        <f t="shared" si="11"/>
        <v>0.13</v>
      </c>
      <c r="AG47" s="8">
        <f t="shared" si="6"/>
        <v>784.8000000000001</v>
      </c>
      <c r="AH47" s="8">
        <f t="shared" si="9"/>
        <v>2444.8</v>
      </c>
      <c r="AI47" s="8">
        <f t="shared" si="7"/>
        <v>160</v>
      </c>
      <c r="AJ47" s="8">
        <f t="shared" si="10"/>
        <v>1500</v>
      </c>
    </row>
    <row r="48" spans="22:36" ht="15.75">
      <c r="V48" s="16">
        <v>23</v>
      </c>
      <c r="W48" s="16">
        <f t="shared" si="1"/>
        <v>23</v>
      </c>
      <c r="X48" s="14">
        <f t="shared" si="8"/>
        <v>0.4427488224622039</v>
      </c>
      <c r="Y48" s="14">
        <f t="shared" si="2"/>
        <v>-1.6145023550755924</v>
      </c>
      <c r="Z48" s="8">
        <f t="shared" si="3"/>
        <v>1</v>
      </c>
      <c r="AA48" s="7">
        <f t="shared" si="4"/>
        <v>13</v>
      </c>
      <c r="AB48" s="7">
        <f t="shared" si="5"/>
        <v>2.5</v>
      </c>
      <c r="AC48" s="7">
        <f t="shared" si="11"/>
        <v>0.13</v>
      </c>
      <c r="AG48" s="8">
        <f t="shared" si="6"/>
        <v>784.8000000000001</v>
      </c>
      <c r="AH48" s="8">
        <f t="shared" si="9"/>
        <v>2444.8</v>
      </c>
      <c r="AI48" s="8">
        <f t="shared" si="7"/>
        <v>160</v>
      </c>
      <c r="AJ48" s="8">
        <f t="shared" si="10"/>
        <v>1500</v>
      </c>
    </row>
    <row r="49" spans="22:36" ht="15.75">
      <c r="V49" s="16">
        <v>24</v>
      </c>
      <c r="W49" s="16">
        <f t="shared" si="1"/>
        <v>24</v>
      </c>
      <c r="X49" s="14">
        <f t="shared" si="8"/>
        <v>0.4619987712649084</v>
      </c>
      <c r="Y49" s="14">
        <f t="shared" si="2"/>
        <v>-1.5760024574701832</v>
      </c>
      <c r="Z49" s="8">
        <f t="shared" si="3"/>
        <v>1</v>
      </c>
      <c r="AA49" s="7">
        <f t="shared" si="4"/>
        <v>14</v>
      </c>
      <c r="AB49" s="7">
        <f t="shared" si="5"/>
        <v>0</v>
      </c>
      <c r="AC49" s="7">
        <f t="shared" si="11"/>
        <v>0.14</v>
      </c>
      <c r="AG49" s="8">
        <f t="shared" si="6"/>
        <v>784.8000000000001</v>
      </c>
      <c r="AH49" s="8">
        <f t="shared" si="9"/>
        <v>2444.8</v>
      </c>
      <c r="AI49" s="8">
        <f t="shared" si="7"/>
        <v>160</v>
      </c>
      <c r="AJ49" s="8">
        <f t="shared" si="10"/>
        <v>1500</v>
      </c>
    </row>
    <row r="50" spans="22:36" ht="15.75">
      <c r="V50" s="16">
        <v>25</v>
      </c>
      <c r="W50" s="16">
        <f t="shared" si="1"/>
        <v>25</v>
      </c>
      <c r="X50" s="14">
        <f t="shared" si="8"/>
        <v>0.48124872006761293</v>
      </c>
      <c r="Y50" s="14">
        <f t="shared" si="2"/>
        <v>-1.537502559864774</v>
      </c>
      <c r="Z50" s="8">
        <f t="shared" si="3"/>
        <v>1</v>
      </c>
      <c r="AA50" s="7">
        <f t="shared" si="4"/>
        <v>14</v>
      </c>
      <c r="AB50" s="7">
        <f t="shared" si="5"/>
        <v>2.5</v>
      </c>
      <c r="AC50" s="7">
        <f aca="true" t="shared" si="12" ref="AC50:AC88">AA50*$AB$19</f>
        <v>0.14</v>
      </c>
      <c r="AG50" s="8">
        <f t="shared" si="6"/>
        <v>784.8000000000001</v>
      </c>
      <c r="AH50" s="8">
        <f t="shared" si="9"/>
        <v>2444.8</v>
      </c>
      <c r="AI50" s="8">
        <f t="shared" si="7"/>
        <v>160</v>
      </c>
      <c r="AJ50" s="8">
        <f t="shared" si="10"/>
        <v>1500</v>
      </c>
    </row>
    <row r="51" spans="22:36" ht="15.75">
      <c r="V51" s="16">
        <v>26</v>
      </c>
      <c r="W51" s="16">
        <f t="shared" si="1"/>
        <v>26</v>
      </c>
      <c r="X51" s="14">
        <f t="shared" si="8"/>
        <v>0.5004986688703175</v>
      </c>
      <c r="Y51" s="14">
        <f t="shared" si="2"/>
        <v>-1.499002662259365</v>
      </c>
      <c r="Z51" s="8">
        <f t="shared" si="3"/>
        <v>1</v>
      </c>
      <c r="AA51" s="7">
        <f t="shared" si="4"/>
        <v>15</v>
      </c>
      <c r="AB51" s="7">
        <f t="shared" si="5"/>
        <v>0</v>
      </c>
      <c r="AC51" s="7">
        <f t="shared" si="12"/>
        <v>0.15</v>
      </c>
      <c r="AG51" s="8">
        <f t="shared" si="6"/>
        <v>784.8000000000001</v>
      </c>
      <c r="AH51" s="8">
        <f t="shared" si="9"/>
        <v>2444.8</v>
      </c>
      <c r="AI51" s="8">
        <f t="shared" si="7"/>
        <v>160</v>
      </c>
      <c r="AJ51" s="8">
        <f t="shared" si="10"/>
        <v>1500</v>
      </c>
    </row>
    <row r="52" spans="22:36" ht="15.75">
      <c r="V52" s="16">
        <v>27</v>
      </c>
      <c r="W52" s="16">
        <f t="shared" si="1"/>
        <v>27</v>
      </c>
      <c r="X52" s="14">
        <f t="shared" si="8"/>
        <v>0.5197486176730219</v>
      </c>
      <c r="Y52" s="14">
        <f t="shared" si="2"/>
        <v>-1.4605027646539561</v>
      </c>
      <c r="Z52" s="8">
        <f t="shared" si="3"/>
        <v>1</v>
      </c>
      <c r="AA52" s="7">
        <f t="shared" si="4"/>
        <v>15</v>
      </c>
      <c r="AB52" s="7">
        <f t="shared" si="5"/>
        <v>2.5</v>
      </c>
      <c r="AC52" s="7">
        <f t="shared" si="12"/>
        <v>0.15</v>
      </c>
      <c r="AG52" s="8">
        <f t="shared" si="6"/>
        <v>784.8000000000001</v>
      </c>
      <c r="AH52" s="8">
        <f t="shared" si="9"/>
        <v>2444.8</v>
      </c>
      <c r="AI52" s="8">
        <f t="shared" si="7"/>
        <v>160</v>
      </c>
      <c r="AJ52" s="8">
        <f t="shared" si="10"/>
        <v>1500</v>
      </c>
    </row>
    <row r="53" spans="22:36" ht="15.75">
      <c r="V53" s="16">
        <v>28</v>
      </c>
      <c r="W53" s="16">
        <f t="shared" si="1"/>
        <v>28</v>
      </c>
      <c r="X53" s="14">
        <f t="shared" si="8"/>
        <v>0.5389985664757264</v>
      </c>
      <c r="Y53" s="14">
        <f t="shared" si="2"/>
        <v>-1.4220028670485472</v>
      </c>
      <c r="Z53" s="8">
        <f t="shared" si="3"/>
        <v>1</v>
      </c>
      <c r="AA53" s="7">
        <f t="shared" si="4"/>
        <v>16</v>
      </c>
      <c r="AB53" s="7">
        <f t="shared" si="5"/>
        <v>0</v>
      </c>
      <c r="AC53" s="7">
        <f t="shared" si="12"/>
        <v>0.16</v>
      </c>
      <c r="AG53" s="8">
        <f t="shared" si="6"/>
        <v>784.8000000000001</v>
      </c>
      <c r="AH53" s="8">
        <f t="shared" si="9"/>
        <v>2444.8</v>
      </c>
      <c r="AI53" s="8">
        <f t="shared" si="7"/>
        <v>160</v>
      </c>
      <c r="AJ53" s="8">
        <f t="shared" si="10"/>
        <v>1500</v>
      </c>
    </row>
    <row r="54" spans="22:36" ht="15.75">
      <c r="V54" s="16">
        <v>29</v>
      </c>
      <c r="W54" s="16">
        <f t="shared" si="1"/>
        <v>29</v>
      </c>
      <c r="X54" s="14">
        <f t="shared" si="8"/>
        <v>0.558248515278431</v>
      </c>
      <c r="Y54" s="14">
        <f t="shared" si="2"/>
        <v>-1.383502969443138</v>
      </c>
      <c r="Z54" s="8">
        <f t="shared" si="3"/>
        <v>1</v>
      </c>
      <c r="AA54" s="7">
        <f t="shared" si="4"/>
        <v>16</v>
      </c>
      <c r="AB54" s="7">
        <f t="shared" si="5"/>
        <v>2.5</v>
      </c>
      <c r="AC54" s="7">
        <f t="shared" si="12"/>
        <v>0.16</v>
      </c>
      <c r="AG54" s="8">
        <f t="shared" si="6"/>
        <v>784.8000000000001</v>
      </c>
      <c r="AH54" s="8">
        <f t="shared" si="9"/>
        <v>2444.8</v>
      </c>
      <c r="AI54" s="8">
        <f t="shared" si="7"/>
        <v>160</v>
      </c>
      <c r="AJ54" s="8">
        <f t="shared" si="10"/>
        <v>1500</v>
      </c>
    </row>
    <row r="55" spans="22:36" ht="15.75">
      <c r="V55" s="16">
        <v>30</v>
      </c>
      <c r="W55" s="16">
        <f t="shared" si="1"/>
        <v>30</v>
      </c>
      <c r="X55" s="14">
        <f t="shared" si="8"/>
        <v>0.5774984640811355</v>
      </c>
      <c r="Y55" s="14">
        <f t="shared" si="2"/>
        <v>-1.345003071837729</v>
      </c>
      <c r="Z55" s="8">
        <f t="shared" si="3"/>
        <v>1</v>
      </c>
      <c r="AA55" s="7">
        <f t="shared" si="4"/>
        <v>17</v>
      </c>
      <c r="AB55" s="7">
        <f t="shared" si="5"/>
        <v>0</v>
      </c>
      <c r="AC55" s="7">
        <f t="shared" si="12"/>
        <v>0.17</v>
      </c>
      <c r="AG55" s="8">
        <f t="shared" si="6"/>
        <v>784.8000000000001</v>
      </c>
      <c r="AH55" s="8">
        <f t="shared" si="9"/>
        <v>2444.8</v>
      </c>
      <c r="AI55" s="8">
        <f t="shared" si="7"/>
        <v>160</v>
      </c>
      <c r="AJ55" s="8">
        <f t="shared" si="10"/>
        <v>1500</v>
      </c>
    </row>
    <row r="56" spans="22:36" ht="15.75">
      <c r="V56" s="16">
        <v>31</v>
      </c>
      <c r="W56" s="16">
        <f aca="true" t="shared" si="13" ref="W56:W87">MIN(V56,$Q$3)</f>
        <v>31</v>
      </c>
      <c r="X56" s="14">
        <f t="shared" si="8"/>
        <v>0.5967484128838401</v>
      </c>
      <c r="Y56" s="14">
        <f aca="true" t="shared" si="14" ref="Y56:Y87">IF(X56&lt;$W$16,-$W$5+$W$15*X56,-$W$19+$F$3*COS($F$4/180*PI())*(X56-$W$16))</f>
        <v>-1.3065031742323199</v>
      </c>
      <c r="Z56" s="8">
        <f aca="true" t="shared" si="15" ref="Z56:Z87">IF(X56&lt;$W$16,$AE$29,$AE$29+$F$3*SIN($F$4/180*PI())*(X56-$W$16)-0.5*9.81*(X56-$W$16)^2)</f>
        <v>1</v>
      </c>
      <c r="AA56" s="7">
        <f t="shared" si="4"/>
        <v>17</v>
      </c>
      <c r="AB56" s="7">
        <f t="shared" si="5"/>
        <v>2.5</v>
      </c>
      <c r="AC56" s="7">
        <f t="shared" si="12"/>
        <v>0.17</v>
      </c>
      <c r="AG56" s="8">
        <f aca="true" t="shared" si="16" ref="AG56:AG87">$F$2*9.81*Z56</f>
        <v>784.8000000000001</v>
      </c>
      <c r="AH56" s="8">
        <f t="shared" si="9"/>
        <v>2444.8</v>
      </c>
      <c r="AI56" s="8">
        <f aca="true" t="shared" si="17" ref="AI56:AI87">IF(X56&lt;$W$16,0.5*$F$2*$W$15^2,AH56-AG56)</f>
        <v>160</v>
      </c>
      <c r="AJ56" s="8">
        <f t="shared" si="10"/>
        <v>1500</v>
      </c>
    </row>
    <row r="57" spans="22:36" ht="15.75">
      <c r="V57" s="16">
        <v>32</v>
      </c>
      <c r="W57" s="16">
        <f t="shared" si="13"/>
        <v>32</v>
      </c>
      <c r="X57" s="14">
        <f t="shared" si="8"/>
        <v>0.6159983616865445</v>
      </c>
      <c r="Y57" s="14">
        <f t="shared" si="14"/>
        <v>-1.268003276626911</v>
      </c>
      <c r="Z57" s="8">
        <f t="shared" si="15"/>
        <v>1</v>
      </c>
      <c r="AA57" s="7">
        <f t="shared" si="4"/>
        <v>18</v>
      </c>
      <c r="AB57" s="7">
        <f t="shared" si="5"/>
        <v>0</v>
      </c>
      <c r="AC57" s="7">
        <f t="shared" si="12"/>
        <v>0.18</v>
      </c>
      <c r="AG57" s="8">
        <f t="shared" si="16"/>
        <v>784.8000000000001</v>
      </c>
      <c r="AH57" s="8">
        <f t="shared" si="9"/>
        <v>2444.8</v>
      </c>
      <c r="AI57" s="8">
        <f t="shared" si="17"/>
        <v>160</v>
      </c>
      <c r="AJ57" s="8">
        <f t="shared" si="10"/>
        <v>1500</v>
      </c>
    </row>
    <row r="58" spans="22:36" ht="15.75">
      <c r="V58" s="16">
        <v>33</v>
      </c>
      <c r="W58" s="16">
        <f t="shared" si="13"/>
        <v>33</v>
      </c>
      <c r="X58" s="14">
        <f t="shared" si="8"/>
        <v>0.635248310489249</v>
      </c>
      <c r="Y58" s="14">
        <f t="shared" si="14"/>
        <v>-1.229503379021502</v>
      </c>
      <c r="Z58" s="8">
        <f t="shared" si="15"/>
        <v>1</v>
      </c>
      <c r="AA58" s="7">
        <f t="shared" si="4"/>
        <v>18</v>
      </c>
      <c r="AB58" s="7">
        <f t="shared" si="5"/>
        <v>2.5</v>
      </c>
      <c r="AC58" s="7">
        <f t="shared" si="12"/>
        <v>0.18</v>
      </c>
      <c r="AG58" s="8">
        <f t="shared" si="16"/>
        <v>784.8000000000001</v>
      </c>
      <c r="AH58" s="8">
        <f t="shared" si="9"/>
        <v>2444.8</v>
      </c>
      <c r="AI58" s="8">
        <f t="shared" si="17"/>
        <v>160</v>
      </c>
      <c r="AJ58" s="8">
        <f t="shared" si="10"/>
        <v>1500</v>
      </c>
    </row>
    <row r="59" spans="22:36" ht="15.75">
      <c r="V59" s="16">
        <v>34</v>
      </c>
      <c r="W59" s="16">
        <f t="shared" si="13"/>
        <v>34</v>
      </c>
      <c r="X59" s="14">
        <f>W59*$W$22</f>
        <v>0.6544982592919536</v>
      </c>
      <c r="Y59" s="14">
        <f t="shared" si="14"/>
        <v>-1.1910034814160928</v>
      </c>
      <c r="Z59" s="8">
        <f t="shared" si="15"/>
        <v>1</v>
      </c>
      <c r="AA59" s="7">
        <f t="shared" si="4"/>
        <v>19</v>
      </c>
      <c r="AB59" s="7">
        <f t="shared" si="5"/>
        <v>0</v>
      </c>
      <c r="AC59" s="7">
        <f t="shared" si="12"/>
        <v>0.19</v>
      </c>
      <c r="AG59" s="8">
        <f t="shared" si="16"/>
        <v>784.8000000000001</v>
      </c>
      <c r="AH59" s="8">
        <f t="shared" si="9"/>
        <v>2444.8</v>
      </c>
      <c r="AI59" s="8">
        <f t="shared" si="17"/>
        <v>160</v>
      </c>
      <c r="AJ59" s="8">
        <f t="shared" si="10"/>
        <v>1500</v>
      </c>
    </row>
    <row r="60" spans="22:36" ht="15.75">
      <c r="V60" s="16">
        <v>35</v>
      </c>
      <c r="W60" s="16">
        <f t="shared" si="13"/>
        <v>35</v>
      </c>
      <c r="X60" s="14">
        <f t="shared" si="8"/>
        <v>0.6737482080946581</v>
      </c>
      <c r="Y60" s="14">
        <f t="shared" si="14"/>
        <v>-1.1525035838106839</v>
      </c>
      <c r="Z60" s="8">
        <f t="shared" si="15"/>
        <v>1</v>
      </c>
      <c r="AA60" s="7">
        <f t="shared" si="4"/>
        <v>19</v>
      </c>
      <c r="AB60" s="7">
        <f t="shared" si="5"/>
        <v>2.5</v>
      </c>
      <c r="AC60" s="7">
        <f t="shared" si="12"/>
        <v>0.19</v>
      </c>
      <c r="AG60" s="8">
        <f t="shared" si="16"/>
        <v>784.8000000000001</v>
      </c>
      <c r="AH60" s="8">
        <f t="shared" si="9"/>
        <v>2444.8</v>
      </c>
      <c r="AI60" s="8">
        <f t="shared" si="17"/>
        <v>160</v>
      </c>
      <c r="AJ60" s="8">
        <f t="shared" si="10"/>
        <v>1500</v>
      </c>
    </row>
    <row r="61" spans="22:36" ht="15.75">
      <c r="V61" s="16">
        <v>36</v>
      </c>
      <c r="W61" s="16">
        <f t="shared" si="13"/>
        <v>36</v>
      </c>
      <c r="X61" s="14">
        <f t="shared" si="8"/>
        <v>0.6929981568973627</v>
      </c>
      <c r="Y61" s="14">
        <f t="shared" si="14"/>
        <v>-1.1140036862052747</v>
      </c>
      <c r="Z61" s="8">
        <f t="shared" si="15"/>
        <v>1</v>
      </c>
      <c r="AA61" s="7">
        <f t="shared" si="4"/>
        <v>20</v>
      </c>
      <c r="AB61" s="7">
        <f t="shared" si="5"/>
        <v>0</v>
      </c>
      <c r="AC61" s="7">
        <f t="shared" si="12"/>
        <v>0.2</v>
      </c>
      <c r="AG61" s="8">
        <f t="shared" si="16"/>
        <v>784.8000000000001</v>
      </c>
      <c r="AH61" s="8">
        <f t="shared" si="9"/>
        <v>2444.8</v>
      </c>
      <c r="AI61" s="8">
        <f t="shared" si="17"/>
        <v>160</v>
      </c>
      <c r="AJ61" s="8">
        <f t="shared" si="10"/>
        <v>1500</v>
      </c>
    </row>
    <row r="62" spans="22:36" ht="15.75">
      <c r="V62" s="16">
        <v>37</v>
      </c>
      <c r="W62" s="16">
        <f t="shared" si="13"/>
        <v>37</v>
      </c>
      <c r="X62" s="14">
        <f t="shared" si="8"/>
        <v>0.7122481057000671</v>
      </c>
      <c r="Y62" s="14">
        <f t="shared" si="14"/>
        <v>-1.0755037885998657</v>
      </c>
      <c r="Z62" s="8">
        <f t="shared" si="15"/>
        <v>1</v>
      </c>
      <c r="AA62" s="7">
        <f t="shared" si="4"/>
        <v>20</v>
      </c>
      <c r="AB62" s="7">
        <f t="shared" si="5"/>
        <v>2.5</v>
      </c>
      <c r="AC62" s="7">
        <f t="shared" si="12"/>
        <v>0.2</v>
      </c>
      <c r="AG62" s="8">
        <f t="shared" si="16"/>
        <v>784.8000000000001</v>
      </c>
      <c r="AH62" s="8">
        <f t="shared" si="9"/>
        <v>2444.8</v>
      </c>
      <c r="AI62" s="8">
        <f t="shared" si="17"/>
        <v>160</v>
      </c>
      <c r="AJ62" s="8">
        <f t="shared" si="10"/>
        <v>1500</v>
      </c>
    </row>
    <row r="63" spans="22:36" ht="15.75">
      <c r="V63" s="16">
        <v>38</v>
      </c>
      <c r="W63" s="16">
        <f t="shared" si="13"/>
        <v>38</v>
      </c>
      <c r="X63" s="14">
        <f t="shared" si="8"/>
        <v>0.7314980545027716</v>
      </c>
      <c r="Y63" s="14">
        <f t="shared" si="14"/>
        <v>-1.038042470573019</v>
      </c>
      <c r="Z63" s="8">
        <f t="shared" si="15"/>
        <v>1.0505638023657458</v>
      </c>
      <c r="AA63" s="7">
        <f t="shared" si="4"/>
        <v>21</v>
      </c>
      <c r="AB63" s="7">
        <f t="shared" si="5"/>
        <v>0</v>
      </c>
      <c r="AC63" s="7">
        <f t="shared" si="12"/>
        <v>0.21</v>
      </c>
      <c r="AG63" s="8">
        <f t="shared" si="16"/>
        <v>824.4824720966374</v>
      </c>
      <c r="AH63" s="8">
        <f t="shared" si="9"/>
        <v>2444.8</v>
      </c>
      <c r="AI63" s="8">
        <f t="shared" si="17"/>
        <v>1620.3175279033628</v>
      </c>
      <c r="AJ63" s="8">
        <f t="shared" si="10"/>
        <v>0</v>
      </c>
    </row>
    <row r="64" spans="22:36" ht="15.75">
      <c r="V64" s="16">
        <v>39</v>
      </c>
      <c r="W64" s="16">
        <f t="shared" si="13"/>
        <v>39</v>
      </c>
      <c r="X64" s="14">
        <f t="shared" si="8"/>
        <v>0.7507480033054762</v>
      </c>
      <c r="Y64" s="14">
        <f t="shared" si="14"/>
        <v>-1.0016928828034894</v>
      </c>
      <c r="Z64" s="8">
        <f t="shared" si="15"/>
        <v>1.1525573040888089</v>
      </c>
      <c r="AA64" s="7">
        <f t="shared" si="4"/>
        <v>21</v>
      </c>
      <c r="AB64" s="7">
        <f t="shared" si="5"/>
        <v>2.5</v>
      </c>
      <c r="AC64" s="7">
        <f t="shared" si="12"/>
        <v>0.21</v>
      </c>
      <c r="AG64" s="8">
        <f t="shared" si="16"/>
        <v>904.5269722488973</v>
      </c>
      <c r="AH64" s="8">
        <f t="shared" si="9"/>
        <v>2444.8</v>
      </c>
      <c r="AI64" s="8">
        <f t="shared" si="17"/>
        <v>1540.2730277511027</v>
      </c>
      <c r="AJ64" s="8">
        <f t="shared" si="10"/>
        <v>0</v>
      </c>
    </row>
    <row r="65" spans="22:36" ht="15.75">
      <c r="V65" s="16">
        <v>40</v>
      </c>
      <c r="W65" s="16">
        <f t="shared" si="13"/>
        <v>40</v>
      </c>
      <c r="X65" s="14">
        <f t="shared" si="8"/>
        <v>0.7699979521081807</v>
      </c>
      <c r="Y65" s="14">
        <f t="shared" si="14"/>
        <v>-0.9653432950339602</v>
      </c>
      <c r="Z65" s="8">
        <f t="shared" si="15"/>
        <v>1.2509156070232963</v>
      </c>
      <c r="AA65" s="7">
        <f t="shared" si="4"/>
        <v>22</v>
      </c>
      <c r="AB65" s="7">
        <f t="shared" si="5"/>
        <v>0</v>
      </c>
      <c r="AC65" s="7">
        <f t="shared" si="12"/>
        <v>0.22</v>
      </c>
      <c r="AG65" s="8">
        <f t="shared" si="16"/>
        <v>981.718568391883</v>
      </c>
      <c r="AH65" s="8">
        <f t="shared" si="9"/>
        <v>2444.8</v>
      </c>
      <c r="AI65" s="8">
        <f t="shared" si="17"/>
        <v>1463.0814316081173</v>
      </c>
      <c r="AJ65" s="8">
        <f t="shared" si="10"/>
        <v>0</v>
      </c>
    </row>
    <row r="66" spans="22:36" ht="15.75">
      <c r="V66" s="16">
        <v>41</v>
      </c>
      <c r="W66" s="16">
        <f t="shared" si="13"/>
        <v>41</v>
      </c>
      <c r="X66" s="14">
        <f t="shared" si="8"/>
        <v>0.7892479009108851</v>
      </c>
      <c r="Y66" s="14">
        <f t="shared" si="14"/>
        <v>-0.928993707264431</v>
      </c>
      <c r="Z66" s="8">
        <f t="shared" si="15"/>
        <v>1.3456387111692085</v>
      </c>
      <c r="AA66" s="7">
        <f t="shared" si="4"/>
        <v>22</v>
      </c>
      <c r="AB66" s="7">
        <f t="shared" si="5"/>
        <v>2.5</v>
      </c>
      <c r="AC66" s="7">
        <f t="shared" si="12"/>
        <v>0.22</v>
      </c>
      <c r="AG66" s="8">
        <f t="shared" si="16"/>
        <v>1056.057260525595</v>
      </c>
      <c r="AH66" s="8">
        <f t="shared" si="9"/>
        <v>2444.8</v>
      </c>
      <c r="AI66" s="8">
        <f t="shared" si="17"/>
        <v>1388.7427394744052</v>
      </c>
      <c r="AJ66" s="8">
        <f t="shared" si="10"/>
        <v>0</v>
      </c>
    </row>
    <row r="67" spans="22:36" ht="15.75">
      <c r="V67" s="16">
        <v>42</v>
      </c>
      <c r="W67" s="16">
        <f t="shared" si="13"/>
        <v>42</v>
      </c>
      <c r="X67" s="14">
        <f t="shared" si="8"/>
        <v>0.8084978497135897</v>
      </c>
      <c r="Y67" s="14">
        <f t="shared" si="14"/>
        <v>-0.8926441194949015</v>
      </c>
      <c r="Z67" s="8">
        <f t="shared" si="15"/>
        <v>1.4367266165265462</v>
      </c>
      <c r="AA67" s="7">
        <f t="shared" si="4"/>
        <v>23</v>
      </c>
      <c r="AB67" s="7">
        <f t="shared" si="5"/>
        <v>0</v>
      </c>
      <c r="AC67" s="7">
        <f t="shared" si="12"/>
        <v>0.23</v>
      </c>
      <c r="AG67" s="8">
        <f t="shared" si="16"/>
        <v>1127.5430486500336</v>
      </c>
      <c r="AH67" s="8">
        <f t="shared" si="9"/>
        <v>2444.8</v>
      </c>
      <c r="AI67" s="8">
        <f t="shared" si="17"/>
        <v>1317.2569513499666</v>
      </c>
      <c r="AJ67" s="8">
        <f t="shared" si="10"/>
        <v>0</v>
      </c>
    </row>
    <row r="68" spans="22:36" ht="15.75">
      <c r="V68" s="16">
        <v>43</v>
      </c>
      <c r="W68" s="16">
        <f t="shared" si="13"/>
        <v>43</v>
      </c>
      <c r="X68" s="14">
        <f t="shared" si="8"/>
        <v>0.8277477985162942</v>
      </c>
      <c r="Y68" s="14">
        <f t="shared" si="14"/>
        <v>-0.8562945317253723</v>
      </c>
      <c r="Z68" s="8">
        <f t="shared" si="15"/>
        <v>1.5241793230953082</v>
      </c>
      <c r="AA68" s="7">
        <f t="shared" si="4"/>
        <v>23</v>
      </c>
      <c r="AB68" s="7">
        <f t="shared" si="5"/>
        <v>2.5</v>
      </c>
      <c r="AC68" s="7">
        <f t="shared" si="12"/>
        <v>0.23</v>
      </c>
      <c r="AG68" s="8">
        <f t="shared" si="16"/>
        <v>1196.175932765198</v>
      </c>
      <c r="AH68" s="8">
        <f t="shared" si="9"/>
        <v>2444.8</v>
      </c>
      <c r="AI68" s="8">
        <f t="shared" si="17"/>
        <v>1248.6240672348022</v>
      </c>
      <c r="AJ68" s="8">
        <f t="shared" si="10"/>
        <v>0</v>
      </c>
    </row>
    <row r="69" spans="22:36" ht="15.75">
      <c r="V69" s="16">
        <v>44</v>
      </c>
      <c r="W69" s="16">
        <f t="shared" si="13"/>
        <v>44</v>
      </c>
      <c r="X69" s="14">
        <f t="shared" si="8"/>
        <v>0.8469977473189987</v>
      </c>
      <c r="Y69" s="14">
        <f t="shared" si="14"/>
        <v>-0.819944943955843</v>
      </c>
      <c r="Z69" s="8">
        <f t="shared" si="15"/>
        <v>1.6079968308754953</v>
      </c>
      <c r="AA69" s="7">
        <f t="shared" si="4"/>
        <v>24</v>
      </c>
      <c r="AB69" s="7">
        <f t="shared" si="5"/>
        <v>0</v>
      </c>
      <c r="AC69" s="7">
        <f t="shared" si="12"/>
        <v>0.24</v>
      </c>
      <c r="AG69" s="8">
        <f t="shared" si="16"/>
        <v>1261.955912871089</v>
      </c>
      <c r="AH69" s="8">
        <f t="shared" si="9"/>
        <v>2444.8</v>
      </c>
      <c r="AI69" s="8">
        <f t="shared" si="17"/>
        <v>1182.8440871289113</v>
      </c>
      <c r="AJ69" s="8">
        <f t="shared" si="10"/>
        <v>0</v>
      </c>
    </row>
    <row r="70" spans="22:36" ht="15.75">
      <c r="V70" s="16">
        <v>45</v>
      </c>
      <c r="W70" s="16">
        <f t="shared" si="13"/>
        <v>45</v>
      </c>
      <c r="X70" s="14">
        <f t="shared" si="8"/>
        <v>0.8662476961217033</v>
      </c>
      <c r="Y70" s="14">
        <f t="shared" si="14"/>
        <v>-0.7835953561863136</v>
      </c>
      <c r="Z70" s="8">
        <f t="shared" si="15"/>
        <v>1.6881791398671073</v>
      </c>
      <c r="AA70" s="7">
        <f t="shared" si="4"/>
        <v>24</v>
      </c>
      <c r="AB70" s="7">
        <f t="shared" si="5"/>
        <v>2.5</v>
      </c>
      <c r="AC70" s="7">
        <f t="shared" si="12"/>
        <v>0.24</v>
      </c>
      <c r="AG70" s="8">
        <f t="shared" si="16"/>
        <v>1324.8829889677058</v>
      </c>
      <c r="AH70" s="8">
        <f t="shared" si="9"/>
        <v>2444.8</v>
      </c>
      <c r="AI70" s="8">
        <f t="shared" si="17"/>
        <v>1119.9170110322943</v>
      </c>
      <c r="AJ70" s="8">
        <f t="shared" si="10"/>
        <v>0</v>
      </c>
    </row>
    <row r="71" spans="22:37" ht="15.75">
      <c r="V71" s="16">
        <v>46</v>
      </c>
      <c r="W71" s="16">
        <f t="shared" si="13"/>
        <v>46</v>
      </c>
      <c r="X71" s="14">
        <f t="shared" si="8"/>
        <v>0.8854976449244077</v>
      </c>
      <c r="Y71" s="14">
        <f t="shared" si="14"/>
        <v>-0.7472457684167843</v>
      </c>
      <c r="Z71" s="8">
        <f t="shared" si="15"/>
        <v>1.764726250070144</v>
      </c>
      <c r="AA71" s="7">
        <f t="shared" si="4"/>
        <v>25</v>
      </c>
      <c r="AB71" s="7">
        <f t="shared" si="5"/>
        <v>0</v>
      </c>
      <c r="AC71" s="7">
        <f t="shared" si="12"/>
        <v>0.25</v>
      </c>
      <c r="AG71" s="8">
        <f t="shared" si="16"/>
        <v>1384.957161055049</v>
      </c>
      <c r="AH71" s="8">
        <f t="shared" si="9"/>
        <v>2444.8</v>
      </c>
      <c r="AI71" s="8">
        <f t="shared" si="17"/>
        <v>1059.8428389449512</v>
      </c>
      <c r="AJ71" s="8">
        <f t="shared" si="10"/>
        <v>0</v>
      </c>
      <c r="AK71" s="30"/>
    </row>
    <row r="72" spans="22:36" ht="15.75">
      <c r="V72" s="16">
        <v>47</v>
      </c>
      <c r="W72" s="16">
        <f t="shared" si="13"/>
        <v>47</v>
      </c>
      <c r="X72" s="14">
        <f t="shared" si="8"/>
        <v>0.9047475937271123</v>
      </c>
      <c r="Y72" s="14">
        <f t="shared" si="14"/>
        <v>-0.7108961806472548</v>
      </c>
      <c r="Z72" s="8">
        <f t="shared" si="15"/>
        <v>1.8376381614846058</v>
      </c>
      <c r="AA72" s="7">
        <f t="shared" si="4"/>
        <v>25</v>
      </c>
      <c r="AB72" s="7">
        <f t="shared" si="5"/>
        <v>2.5</v>
      </c>
      <c r="AC72" s="7">
        <f t="shared" si="12"/>
        <v>0.25</v>
      </c>
      <c r="AG72" s="8">
        <f t="shared" si="16"/>
        <v>1442.1784291331187</v>
      </c>
      <c r="AH72" s="8">
        <f t="shared" si="9"/>
        <v>2444.8</v>
      </c>
      <c r="AI72" s="8">
        <f t="shared" si="17"/>
        <v>1002.6215708668815</v>
      </c>
      <c r="AJ72" s="8">
        <f t="shared" si="10"/>
        <v>0</v>
      </c>
    </row>
    <row r="73" spans="22:36" ht="15.75">
      <c r="V73" s="16">
        <v>48</v>
      </c>
      <c r="W73" s="16">
        <f t="shared" si="13"/>
        <v>48</v>
      </c>
      <c r="X73" s="14">
        <f t="shared" si="8"/>
        <v>0.9239975425298168</v>
      </c>
      <c r="Y73" s="14">
        <f t="shared" si="14"/>
        <v>-0.6745465928777256</v>
      </c>
      <c r="Z73" s="8">
        <f t="shared" si="15"/>
        <v>1.9069148741104918</v>
      </c>
      <c r="AA73" s="7">
        <f t="shared" si="4"/>
        <v>26</v>
      </c>
      <c r="AB73" s="7">
        <f t="shared" si="5"/>
        <v>0</v>
      </c>
      <c r="AC73" s="7">
        <f t="shared" si="12"/>
        <v>0.26</v>
      </c>
      <c r="AG73" s="8">
        <f t="shared" si="16"/>
        <v>1496.5467932019142</v>
      </c>
      <c r="AH73" s="8">
        <f t="shared" si="9"/>
        <v>2444.8</v>
      </c>
      <c r="AI73" s="8">
        <f t="shared" si="17"/>
        <v>948.253206798086</v>
      </c>
      <c r="AJ73" s="8">
        <f t="shared" si="10"/>
        <v>0</v>
      </c>
    </row>
    <row r="74" spans="22:36" ht="15.75">
      <c r="V74" s="16">
        <v>49</v>
      </c>
      <c r="W74" s="16">
        <f t="shared" si="13"/>
        <v>49</v>
      </c>
      <c r="X74" s="14">
        <f t="shared" si="8"/>
        <v>0.9432474913325213</v>
      </c>
      <c r="Y74" s="14">
        <f t="shared" si="14"/>
        <v>-0.6381970051081963</v>
      </c>
      <c r="Z74" s="8">
        <f t="shared" si="15"/>
        <v>1.9725563879478027</v>
      </c>
      <c r="AA74" s="7">
        <f t="shared" si="4"/>
        <v>26</v>
      </c>
      <c r="AB74" s="7">
        <f t="shared" si="5"/>
        <v>2.5</v>
      </c>
      <c r="AC74" s="7">
        <f t="shared" si="12"/>
        <v>0.26</v>
      </c>
      <c r="AG74" s="8">
        <f t="shared" si="16"/>
        <v>1548.0622532614357</v>
      </c>
      <c r="AH74" s="8">
        <f t="shared" si="9"/>
        <v>2444.8</v>
      </c>
      <c r="AI74" s="8">
        <f t="shared" si="17"/>
        <v>896.7377467385645</v>
      </c>
      <c r="AJ74" s="8">
        <f t="shared" si="10"/>
        <v>0</v>
      </c>
    </row>
    <row r="75" spans="22:36" ht="15.75">
      <c r="V75" s="16">
        <v>50</v>
      </c>
      <c r="W75" s="16">
        <f t="shared" si="13"/>
        <v>50</v>
      </c>
      <c r="X75" s="14">
        <f t="shared" si="8"/>
        <v>0.9624974401352259</v>
      </c>
      <c r="Y75" s="14">
        <f t="shared" si="14"/>
        <v>-0.6018474173386669</v>
      </c>
      <c r="Z75" s="8">
        <f t="shared" si="15"/>
        <v>2.034562702996539</v>
      </c>
      <c r="AA75" s="7">
        <f t="shared" si="4"/>
        <v>27</v>
      </c>
      <c r="AB75" s="7">
        <f t="shared" si="5"/>
        <v>0</v>
      </c>
      <c r="AC75" s="7">
        <f t="shared" si="12"/>
        <v>0.27</v>
      </c>
      <c r="AG75" s="8">
        <f t="shared" si="16"/>
        <v>1596.7248093116839</v>
      </c>
      <c r="AH75" s="8">
        <f t="shared" si="9"/>
        <v>2444.8</v>
      </c>
      <c r="AI75" s="8">
        <f t="shared" si="17"/>
        <v>848.0751906883163</v>
      </c>
      <c r="AJ75" s="8">
        <f t="shared" si="10"/>
        <v>0</v>
      </c>
    </row>
    <row r="76" spans="22:36" ht="15.75">
      <c r="V76" s="16">
        <v>51</v>
      </c>
      <c r="W76" s="16">
        <f t="shared" si="13"/>
        <v>51</v>
      </c>
      <c r="X76" s="14">
        <f t="shared" si="8"/>
        <v>0.9817473889379303</v>
      </c>
      <c r="Y76" s="14">
        <f t="shared" si="14"/>
        <v>-0.5654978295691375</v>
      </c>
      <c r="Z76" s="8">
        <f t="shared" si="15"/>
        <v>2.0929338192566997</v>
      </c>
      <c r="AA76" s="7">
        <f t="shared" si="4"/>
        <v>27</v>
      </c>
      <c r="AB76" s="7">
        <f t="shared" si="5"/>
        <v>2.5</v>
      </c>
      <c r="AC76" s="7">
        <f t="shared" si="12"/>
        <v>0.27</v>
      </c>
      <c r="AG76" s="8">
        <f t="shared" si="16"/>
        <v>1642.5344613526581</v>
      </c>
      <c r="AH76" s="8">
        <f t="shared" si="9"/>
        <v>2444.8</v>
      </c>
      <c r="AI76" s="8">
        <f t="shared" si="17"/>
        <v>802.265538647342</v>
      </c>
      <c r="AJ76" s="8">
        <f t="shared" si="10"/>
        <v>0</v>
      </c>
    </row>
    <row r="77" spans="22:36" ht="15.75">
      <c r="V77" s="16">
        <v>52</v>
      </c>
      <c r="W77" s="16">
        <f t="shared" si="13"/>
        <v>52</v>
      </c>
      <c r="X77" s="14">
        <f t="shared" si="8"/>
        <v>1.000997337740635</v>
      </c>
      <c r="Y77" s="14">
        <f t="shared" si="14"/>
        <v>-0.5291482417996082</v>
      </c>
      <c r="Z77" s="8">
        <f t="shared" si="15"/>
        <v>2.1476697367282855</v>
      </c>
      <c r="AA77" s="7">
        <f t="shared" si="4"/>
        <v>28</v>
      </c>
      <c r="AB77" s="7">
        <f t="shared" si="5"/>
        <v>0</v>
      </c>
      <c r="AC77" s="7">
        <f t="shared" si="12"/>
        <v>0.28</v>
      </c>
      <c r="AG77" s="8">
        <f t="shared" si="16"/>
        <v>1685.4912093843586</v>
      </c>
      <c r="AH77" s="8">
        <f t="shared" si="9"/>
        <v>2444.8</v>
      </c>
      <c r="AI77" s="8">
        <f t="shared" si="17"/>
        <v>759.3087906156416</v>
      </c>
      <c r="AJ77" s="8">
        <f t="shared" si="10"/>
        <v>0</v>
      </c>
    </row>
    <row r="78" spans="22:36" ht="15.75">
      <c r="V78" s="16">
        <v>53</v>
      </c>
      <c r="W78" s="16">
        <f t="shared" si="13"/>
        <v>53</v>
      </c>
      <c r="X78" s="14">
        <f>W78*$W$22</f>
        <v>1.0202472865433394</v>
      </c>
      <c r="Y78" s="14">
        <f t="shared" si="14"/>
        <v>-0.49279865403007894</v>
      </c>
      <c r="Z78" s="8">
        <f t="shared" si="15"/>
        <v>2.198770455411296</v>
      </c>
      <c r="AA78" s="7">
        <f t="shared" si="4"/>
        <v>28</v>
      </c>
      <c r="AB78" s="7">
        <f t="shared" si="5"/>
        <v>2.5</v>
      </c>
      <c r="AC78" s="7">
        <f t="shared" si="12"/>
        <v>0.28</v>
      </c>
      <c r="AG78" s="8">
        <f t="shared" si="16"/>
        <v>1725.5950534067852</v>
      </c>
      <c r="AH78" s="8">
        <f t="shared" si="9"/>
        <v>2444.8</v>
      </c>
      <c r="AI78" s="8">
        <f t="shared" si="17"/>
        <v>719.204946593215</v>
      </c>
      <c r="AJ78" s="8">
        <f t="shared" si="10"/>
        <v>0</v>
      </c>
    </row>
    <row r="79" spans="22:36" ht="15.75">
      <c r="V79" s="16">
        <v>54</v>
      </c>
      <c r="W79" s="16">
        <f t="shared" si="13"/>
        <v>54</v>
      </c>
      <c r="X79" s="14">
        <f t="shared" si="8"/>
        <v>1.0394972353460439</v>
      </c>
      <c r="Y79" s="14">
        <f t="shared" si="14"/>
        <v>-0.4564490662605496</v>
      </c>
      <c r="Z79" s="8">
        <f t="shared" si="15"/>
        <v>2.246235975305731</v>
      </c>
      <c r="AA79" s="7">
        <f t="shared" si="4"/>
        <v>29</v>
      </c>
      <c r="AB79" s="7">
        <f t="shared" si="5"/>
        <v>0</v>
      </c>
      <c r="AC79" s="7">
        <f t="shared" si="12"/>
        <v>0.29</v>
      </c>
      <c r="AG79" s="8">
        <f t="shared" si="16"/>
        <v>1762.8459934199377</v>
      </c>
      <c r="AH79" s="8">
        <f t="shared" si="9"/>
        <v>2444.8</v>
      </c>
      <c r="AI79" s="8">
        <f t="shared" si="17"/>
        <v>681.9540065800625</v>
      </c>
      <c r="AJ79" s="8">
        <f t="shared" si="10"/>
        <v>0</v>
      </c>
    </row>
    <row r="80" spans="22:36" ht="15.75">
      <c r="V80" s="16">
        <v>55</v>
      </c>
      <c r="W80" s="16">
        <f t="shared" si="13"/>
        <v>55</v>
      </c>
      <c r="X80" s="14">
        <f t="shared" si="8"/>
        <v>1.0587471841487484</v>
      </c>
      <c r="Y80" s="14">
        <f t="shared" si="14"/>
        <v>-0.42009947849102036</v>
      </c>
      <c r="Z80" s="8">
        <f t="shared" si="15"/>
        <v>2.290066296411591</v>
      </c>
      <c r="AA80" s="7">
        <f t="shared" si="4"/>
        <v>29</v>
      </c>
      <c r="AB80" s="7">
        <f t="shared" si="5"/>
        <v>2.5</v>
      </c>
      <c r="AC80" s="7">
        <f t="shared" si="12"/>
        <v>0.29</v>
      </c>
      <c r="AG80" s="8">
        <f t="shared" si="16"/>
        <v>1797.244029423817</v>
      </c>
      <c r="AH80" s="8">
        <f t="shared" si="9"/>
        <v>2444.8</v>
      </c>
      <c r="AI80" s="8">
        <f t="shared" si="17"/>
        <v>647.5559705761832</v>
      </c>
      <c r="AJ80" s="8">
        <f t="shared" si="10"/>
        <v>0</v>
      </c>
    </row>
    <row r="81" spans="22:36" ht="15.75">
      <c r="V81" s="16">
        <v>56</v>
      </c>
      <c r="W81" s="16">
        <f t="shared" si="13"/>
        <v>56</v>
      </c>
      <c r="X81" s="14">
        <f t="shared" si="8"/>
        <v>1.0779971329514528</v>
      </c>
      <c r="Y81" s="14">
        <f t="shared" si="14"/>
        <v>-0.3837498907214911</v>
      </c>
      <c r="Z81" s="8">
        <f t="shared" si="15"/>
        <v>2.330261418728876</v>
      </c>
      <c r="AA81" s="7">
        <f t="shared" si="4"/>
        <v>30</v>
      </c>
      <c r="AB81" s="7">
        <f t="shared" si="5"/>
        <v>0</v>
      </c>
      <c r="AC81" s="7">
        <f t="shared" si="12"/>
        <v>0.3</v>
      </c>
      <c r="AG81" s="8">
        <f t="shared" si="16"/>
        <v>1828.789161418422</v>
      </c>
      <c r="AH81" s="8">
        <f t="shared" si="9"/>
        <v>2444.8</v>
      </c>
      <c r="AI81" s="8">
        <f t="shared" si="17"/>
        <v>616.0108385815781</v>
      </c>
      <c r="AJ81" s="8">
        <f t="shared" si="10"/>
        <v>0</v>
      </c>
    </row>
    <row r="82" spans="22:36" ht="15.75">
      <c r="V82" s="16">
        <v>57</v>
      </c>
      <c r="W82" s="16">
        <f t="shared" si="13"/>
        <v>57</v>
      </c>
      <c r="X82" s="14">
        <f t="shared" si="8"/>
        <v>1.0972470817541575</v>
      </c>
      <c r="Y82" s="14">
        <f t="shared" si="14"/>
        <v>-0.34740030295196145</v>
      </c>
      <c r="Z82" s="8">
        <f t="shared" si="15"/>
        <v>2.3668213422575866</v>
      </c>
      <c r="AA82" s="7">
        <f t="shared" si="4"/>
        <v>30</v>
      </c>
      <c r="AB82" s="7">
        <f t="shared" si="5"/>
        <v>2.5</v>
      </c>
      <c r="AC82" s="7">
        <f t="shared" si="12"/>
        <v>0.3</v>
      </c>
      <c r="AG82" s="8">
        <f t="shared" si="16"/>
        <v>1857.481389403754</v>
      </c>
      <c r="AH82" s="8">
        <f t="shared" si="9"/>
        <v>2444.8</v>
      </c>
      <c r="AI82" s="8">
        <f t="shared" si="17"/>
        <v>587.3186105962461</v>
      </c>
      <c r="AJ82" s="8">
        <f t="shared" si="10"/>
        <v>0</v>
      </c>
    </row>
    <row r="83" spans="22:36" ht="15.75">
      <c r="V83" s="16">
        <v>58</v>
      </c>
      <c r="W83" s="16">
        <f t="shared" si="13"/>
        <v>58</v>
      </c>
      <c r="X83" s="14">
        <f>W83*$W$22</f>
        <v>1.116497030556862</v>
      </c>
      <c r="Y83" s="14">
        <f t="shared" si="14"/>
        <v>-0.3110507151824322</v>
      </c>
      <c r="Z83" s="8">
        <f t="shared" si="15"/>
        <v>2.3997460669977206</v>
      </c>
      <c r="AA83" s="7">
        <f t="shared" si="4"/>
        <v>31</v>
      </c>
      <c r="AB83" s="7">
        <f t="shared" si="5"/>
        <v>0</v>
      </c>
      <c r="AC83" s="7">
        <f t="shared" si="12"/>
        <v>0.31</v>
      </c>
      <c r="AG83" s="8">
        <f t="shared" si="16"/>
        <v>1883.3207133798114</v>
      </c>
      <c r="AH83" s="8">
        <f t="shared" si="9"/>
        <v>2444.8</v>
      </c>
      <c r="AI83" s="8">
        <f t="shared" si="17"/>
        <v>561.4792866201888</v>
      </c>
      <c r="AJ83" s="8">
        <f t="shared" si="10"/>
        <v>0</v>
      </c>
    </row>
    <row r="84" spans="22:36" ht="15.75">
      <c r="V84" s="16">
        <v>59</v>
      </c>
      <c r="W84" s="16">
        <f t="shared" si="13"/>
        <v>59</v>
      </c>
      <c r="X84" s="14">
        <f t="shared" si="8"/>
        <v>1.1357469793595665</v>
      </c>
      <c r="Y84" s="14">
        <f t="shared" si="14"/>
        <v>-0.274701127412903</v>
      </c>
      <c r="Z84" s="8">
        <f t="shared" si="15"/>
        <v>2.4290355929492806</v>
      </c>
      <c r="AA84" s="7">
        <f t="shared" si="4"/>
        <v>31</v>
      </c>
      <c r="AB84" s="7">
        <f t="shared" si="5"/>
        <v>2.5</v>
      </c>
      <c r="AC84" s="7">
        <f t="shared" si="12"/>
        <v>0.31</v>
      </c>
      <c r="AG84" s="8">
        <f t="shared" si="16"/>
        <v>1906.3071333465955</v>
      </c>
      <c r="AH84" s="8">
        <f t="shared" si="9"/>
        <v>2444.8</v>
      </c>
      <c r="AI84" s="8">
        <f t="shared" si="17"/>
        <v>538.4928666534047</v>
      </c>
      <c r="AJ84" s="8">
        <f t="shared" si="10"/>
        <v>0</v>
      </c>
    </row>
    <row r="85" spans="22:36" ht="15.75">
      <c r="V85" s="16">
        <v>60</v>
      </c>
      <c r="W85" s="16">
        <f t="shared" si="13"/>
        <v>60</v>
      </c>
      <c r="X85" s="14">
        <f t="shared" si="8"/>
        <v>1.154996928162271</v>
      </c>
      <c r="Y85" s="14">
        <f t="shared" si="14"/>
        <v>-0.23835153964337374</v>
      </c>
      <c r="Z85" s="8">
        <f t="shared" si="15"/>
        <v>2.4546899201122647</v>
      </c>
      <c r="AA85" s="7">
        <f t="shared" si="4"/>
        <v>32</v>
      </c>
      <c r="AB85" s="7">
        <f t="shared" si="5"/>
        <v>0</v>
      </c>
      <c r="AC85" s="7">
        <f t="shared" si="12"/>
        <v>0.32</v>
      </c>
      <c r="AG85" s="8">
        <f t="shared" si="16"/>
        <v>1926.4406493041056</v>
      </c>
      <c r="AH85" s="8">
        <f t="shared" si="9"/>
        <v>2444.8</v>
      </c>
      <c r="AI85" s="8">
        <f t="shared" si="17"/>
        <v>518.3593506958946</v>
      </c>
      <c r="AJ85" s="8">
        <f t="shared" si="10"/>
        <v>0</v>
      </c>
    </row>
    <row r="86" spans="22:36" ht="15.75">
      <c r="V86" s="16">
        <v>61</v>
      </c>
      <c r="W86" s="16">
        <f t="shared" si="13"/>
        <v>61</v>
      </c>
      <c r="X86" s="14">
        <f t="shared" si="8"/>
        <v>1.1742468769649754</v>
      </c>
      <c r="Y86" s="14">
        <f t="shared" si="14"/>
        <v>-0.2020019518738445</v>
      </c>
      <c r="Z86" s="8">
        <f t="shared" si="15"/>
        <v>2.4767090484866734</v>
      </c>
      <c r="AA86" s="7">
        <f t="shared" si="4"/>
        <v>32</v>
      </c>
      <c r="AB86" s="7">
        <f t="shared" si="5"/>
        <v>2.5</v>
      </c>
      <c r="AC86" s="7">
        <f t="shared" si="12"/>
        <v>0.32</v>
      </c>
      <c r="AG86" s="8">
        <f t="shared" si="16"/>
        <v>1943.7212612523415</v>
      </c>
      <c r="AH86" s="8">
        <f t="shared" si="9"/>
        <v>2444.8</v>
      </c>
      <c r="AI86" s="8">
        <f t="shared" si="17"/>
        <v>501.0787387476587</v>
      </c>
      <c r="AJ86" s="8">
        <f t="shared" si="10"/>
        <v>0</v>
      </c>
    </row>
    <row r="87" spans="22:36" ht="15.75">
      <c r="V87" s="16">
        <v>62</v>
      </c>
      <c r="W87" s="16">
        <f t="shared" si="13"/>
        <v>62</v>
      </c>
      <c r="X87" s="14">
        <f t="shared" si="8"/>
        <v>1.1934968257676801</v>
      </c>
      <c r="Y87" s="14">
        <f t="shared" si="14"/>
        <v>-0.16565236410431483</v>
      </c>
      <c r="Z87" s="8">
        <f t="shared" si="15"/>
        <v>2.495092978072508</v>
      </c>
      <c r="AA87" s="7">
        <f t="shared" si="4"/>
        <v>33</v>
      </c>
      <c r="AB87" s="7">
        <f t="shared" si="5"/>
        <v>0</v>
      </c>
      <c r="AC87" s="7">
        <f t="shared" si="12"/>
        <v>0.33</v>
      </c>
      <c r="AG87" s="8">
        <f t="shared" si="16"/>
        <v>1958.1489691913043</v>
      </c>
      <c r="AH87" s="8">
        <f t="shared" si="9"/>
        <v>2444.8</v>
      </c>
      <c r="AI87" s="8">
        <f t="shared" si="17"/>
        <v>486.65103080869585</v>
      </c>
      <c r="AJ87" s="8">
        <f t="shared" si="10"/>
        <v>0</v>
      </c>
    </row>
    <row r="88" spans="22:36" ht="15.75">
      <c r="V88" s="16">
        <v>63</v>
      </c>
      <c r="W88" s="16">
        <f aca="true" t="shared" si="18" ref="W88:W119">MIN(V88,$Q$3)</f>
        <v>63</v>
      </c>
      <c r="X88" s="14">
        <f t="shared" si="8"/>
        <v>1.2127467745703846</v>
      </c>
      <c r="Y88" s="14">
        <f aca="true" t="shared" si="19" ref="Y88:Y119">IF(X88&lt;$W$16,-$W$5+$W$15*X88,-$W$19+$F$3*COS($F$4/180*PI())*(X88-$W$16))</f>
        <v>-0.1293027763347856</v>
      </c>
      <c r="Z88" s="8">
        <f aca="true" t="shared" si="20" ref="Z88:Z119">IF(X88&lt;$W$16,$AE$29,$AE$29+$F$3*SIN($F$4/180*PI())*(X88-$W$16)-0.5*9.81*(X88-$W$16)^2)</f>
        <v>2.5098417088697667</v>
      </c>
      <c r="AA88" s="7">
        <f aca="true" t="shared" si="21" ref="AA88:AA122">AA86+1</f>
        <v>33</v>
      </c>
      <c r="AB88" s="7">
        <f aca="true" t="shared" si="22" ref="AB88:AB122">AB86</f>
        <v>2.5</v>
      </c>
      <c r="AC88" s="7">
        <f t="shared" si="12"/>
        <v>0.33</v>
      </c>
      <c r="AG88" s="8">
        <f aca="true" t="shared" si="23" ref="AG88:AG119">$F$2*9.81*Z88</f>
        <v>1969.723773120993</v>
      </c>
      <c r="AH88" s="8">
        <f t="shared" si="9"/>
        <v>2444.8</v>
      </c>
      <c r="AI88" s="8">
        <f aca="true" t="shared" si="24" ref="AI88:AI119">IF(X88&lt;$W$16,0.5*$F$2*$W$15^2,AH88-AG88)</f>
        <v>475.0762268790072</v>
      </c>
      <c r="AJ88" s="8">
        <f t="shared" si="10"/>
        <v>0</v>
      </c>
    </row>
    <row r="89" spans="22:36" ht="15.75">
      <c r="V89" s="16">
        <v>64</v>
      </c>
      <c r="W89" s="16">
        <f t="shared" si="18"/>
        <v>64</v>
      </c>
      <c r="X89" s="14">
        <f aca="true" t="shared" si="25" ref="X89:X96">W89*$W$22</f>
        <v>1.231996723373089</v>
      </c>
      <c r="Y89" s="14">
        <f t="shared" si="19"/>
        <v>-0.09295318856525625</v>
      </c>
      <c r="Z89" s="8">
        <f t="shared" si="20"/>
        <v>2.5209552408784504</v>
      </c>
      <c r="AA89" s="7">
        <f t="shared" si="21"/>
        <v>34</v>
      </c>
      <c r="AB89" s="7">
        <f t="shared" si="22"/>
        <v>0</v>
      </c>
      <c r="AC89" s="7">
        <f aca="true" t="shared" si="26" ref="AC89:AC122">AA89*$AB$19</f>
        <v>0.34</v>
      </c>
      <c r="AG89" s="8">
        <f t="shared" si="23"/>
        <v>1978.445673041408</v>
      </c>
      <c r="AH89" s="8">
        <f aca="true" t="shared" si="27" ref="AH89:AH125">$AG$24+$AI$24+$AJ$24</f>
        <v>2444.8</v>
      </c>
      <c r="AI89" s="8">
        <f t="shared" si="24"/>
        <v>466.3543269585921</v>
      </c>
      <c r="AJ89" s="8">
        <f t="shared" si="10"/>
        <v>0</v>
      </c>
    </row>
    <row r="90" spans="22:36" ht="15.75">
      <c r="V90" s="16">
        <v>65</v>
      </c>
      <c r="W90" s="16">
        <f t="shared" si="18"/>
        <v>65</v>
      </c>
      <c r="X90" s="14">
        <f t="shared" si="25"/>
        <v>1.2512466721757936</v>
      </c>
      <c r="Y90" s="14">
        <f t="shared" si="19"/>
        <v>-0.056603600795727016</v>
      </c>
      <c r="Z90" s="8">
        <f t="shared" si="20"/>
        <v>2.5284335740985586</v>
      </c>
      <c r="AA90" s="7">
        <f t="shared" si="21"/>
        <v>34</v>
      </c>
      <c r="AB90" s="7">
        <f t="shared" si="22"/>
        <v>2.5</v>
      </c>
      <c r="AC90" s="7">
        <f t="shared" si="26"/>
        <v>0.34</v>
      </c>
      <c r="AG90" s="8">
        <f t="shared" si="23"/>
        <v>1984.314668952549</v>
      </c>
      <c r="AH90" s="8">
        <f t="shared" si="27"/>
        <v>2444.8</v>
      </c>
      <c r="AI90" s="8">
        <f t="shared" si="24"/>
        <v>460.48533104745115</v>
      </c>
      <c r="AJ90" s="8">
        <f aca="true" t="shared" si="28" ref="AJ90:AJ125">AH90-AG90-AI90</f>
        <v>0</v>
      </c>
    </row>
    <row r="91" spans="22:36" ht="15.75">
      <c r="V91" s="16">
        <v>66</v>
      </c>
      <c r="W91" s="16">
        <f t="shared" si="18"/>
        <v>66</v>
      </c>
      <c r="X91" s="14">
        <f t="shared" si="25"/>
        <v>1.270496620978498</v>
      </c>
      <c r="Y91" s="14">
        <f t="shared" si="19"/>
        <v>-0.020254013026197892</v>
      </c>
      <c r="Z91" s="8">
        <f t="shared" si="20"/>
        <v>2.532276708530092</v>
      </c>
      <c r="AA91" s="7">
        <f t="shared" si="21"/>
        <v>35</v>
      </c>
      <c r="AB91" s="7">
        <f t="shared" si="22"/>
        <v>0</v>
      </c>
      <c r="AC91" s="7">
        <f t="shared" si="26"/>
        <v>0.35000000000000003</v>
      </c>
      <c r="AG91" s="8">
        <f t="shared" si="23"/>
        <v>1987.3307608544162</v>
      </c>
      <c r="AH91" s="8">
        <f t="shared" si="27"/>
        <v>2444.8</v>
      </c>
      <c r="AI91" s="8">
        <f t="shared" si="24"/>
        <v>457.46923914558397</v>
      </c>
      <c r="AJ91" s="8">
        <f t="shared" si="28"/>
        <v>0</v>
      </c>
    </row>
    <row r="92" spans="22:36" ht="15.75">
      <c r="V92" s="16">
        <v>67</v>
      </c>
      <c r="W92" s="16">
        <f t="shared" si="18"/>
        <v>67</v>
      </c>
      <c r="X92" s="14">
        <f t="shared" si="25"/>
        <v>1.2897465697812027</v>
      </c>
      <c r="Y92" s="14">
        <f t="shared" si="19"/>
        <v>0.016095574743331786</v>
      </c>
      <c r="Z92" s="8">
        <f t="shared" si="20"/>
        <v>2.5324846441730493</v>
      </c>
      <c r="AA92" s="7">
        <f t="shared" si="21"/>
        <v>35</v>
      </c>
      <c r="AB92" s="7">
        <f t="shared" si="22"/>
        <v>2.5</v>
      </c>
      <c r="AC92" s="7">
        <f t="shared" si="26"/>
        <v>0.35000000000000003</v>
      </c>
      <c r="AG92" s="8">
        <f t="shared" si="23"/>
        <v>1987.4939487470092</v>
      </c>
      <c r="AH92" s="8">
        <f t="shared" si="27"/>
        <v>2444.8</v>
      </c>
      <c r="AI92" s="8">
        <f t="shared" si="24"/>
        <v>457.306051252991</v>
      </c>
      <c r="AJ92" s="8">
        <f t="shared" si="28"/>
        <v>0</v>
      </c>
    </row>
    <row r="93" spans="22:36" ht="15.75">
      <c r="V93" s="16">
        <v>68</v>
      </c>
      <c r="W93" s="16">
        <f t="shared" si="18"/>
        <v>68</v>
      </c>
      <c r="X93" s="14">
        <f t="shared" si="25"/>
        <v>1.3089965185839072</v>
      </c>
      <c r="Y93" s="14">
        <f t="shared" si="19"/>
        <v>0.05244516251286102</v>
      </c>
      <c r="Z93" s="8">
        <f t="shared" si="20"/>
        <v>2.5290573810274326</v>
      </c>
      <c r="AA93" s="7">
        <f t="shared" si="21"/>
        <v>36</v>
      </c>
      <c r="AB93" s="7">
        <f t="shared" si="22"/>
        <v>0</v>
      </c>
      <c r="AC93" s="7">
        <f t="shared" si="26"/>
        <v>0.36</v>
      </c>
      <c r="AG93" s="8">
        <f t="shared" si="23"/>
        <v>1984.8042326303294</v>
      </c>
      <c r="AH93" s="8">
        <f t="shared" si="27"/>
        <v>2444.8</v>
      </c>
      <c r="AI93" s="8">
        <f t="shared" si="24"/>
        <v>459.99576736967083</v>
      </c>
      <c r="AJ93" s="8">
        <f t="shared" si="28"/>
        <v>0</v>
      </c>
    </row>
    <row r="94" spans="22:36" ht="15.75">
      <c r="V94" s="16">
        <v>69</v>
      </c>
      <c r="W94" s="16">
        <f t="shared" si="18"/>
        <v>69</v>
      </c>
      <c r="X94" s="14">
        <f t="shared" si="25"/>
        <v>1.3282464673866117</v>
      </c>
      <c r="Y94" s="14">
        <f t="shared" si="19"/>
        <v>0.08879475028239048</v>
      </c>
      <c r="Z94" s="8">
        <f t="shared" si="20"/>
        <v>2.52199491909324</v>
      </c>
      <c r="AA94" s="7">
        <f t="shared" si="21"/>
        <v>36</v>
      </c>
      <c r="AB94" s="7">
        <f t="shared" si="22"/>
        <v>2.5</v>
      </c>
      <c r="AC94" s="7">
        <f t="shared" si="26"/>
        <v>0.36</v>
      </c>
      <c r="AG94" s="8">
        <f t="shared" si="23"/>
        <v>1979.2616125043749</v>
      </c>
      <c r="AH94" s="8">
        <f t="shared" si="27"/>
        <v>2444.8</v>
      </c>
      <c r="AI94" s="8">
        <f t="shared" si="24"/>
        <v>465.53838749562533</v>
      </c>
      <c r="AJ94" s="8">
        <f t="shared" si="28"/>
        <v>0</v>
      </c>
    </row>
    <row r="95" spans="22:36" ht="15.75">
      <c r="V95" s="16">
        <v>70</v>
      </c>
      <c r="W95" s="16">
        <f t="shared" si="18"/>
        <v>70</v>
      </c>
      <c r="X95" s="14">
        <f t="shared" si="25"/>
        <v>1.3474964161893161</v>
      </c>
      <c r="Y95" s="14">
        <f t="shared" si="19"/>
        <v>0.1251443380519197</v>
      </c>
      <c r="Z95" s="8">
        <f t="shared" si="20"/>
        <v>2.5112972583704734</v>
      </c>
      <c r="AA95" s="7">
        <f t="shared" si="21"/>
        <v>37</v>
      </c>
      <c r="AB95" s="7">
        <f t="shared" si="22"/>
        <v>0</v>
      </c>
      <c r="AC95" s="7">
        <f t="shared" si="26"/>
        <v>0.37</v>
      </c>
      <c r="AG95" s="8">
        <f t="shared" si="23"/>
        <v>1970.8660883691477</v>
      </c>
      <c r="AH95" s="8">
        <f t="shared" si="27"/>
        <v>2444.8</v>
      </c>
      <c r="AI95" s="8">
        <f t="shared" si="24"/>
        <v>473.93391163085244</v>
      </c>
      <c r="AJ95" s="8">
        <f t="shared" si="28"/>
        <v>0</v>
      </c>
    </row>
    <row r="96" spans="22:36" ht="15.75">
      <c r="V96" s="16">
        <v>71</v>
      </c>
      <c r="W96" s="16">
        <f t="shared" si="18"/>
        <v>71</v>
      </c>
      <c r="X96" s="14">
        <f t="shared" si="25"/>
        <v>1.3667463649920206</v>
      </c>
      <c r="Y96" s="14">
        <f t="shared" si="19"/>
        <v>0.16149392582144895</v>
      </c>
      <c r="Z96" s="8">
        <f t="shared" si="20"/>
        <v>2.496964398859131</v>
      </c>
      <c r="AA96" s="7">
        <f t="shared" si="21"/>
        <v>37</v>
      </c>
      <c r="AB96" s="7">
        <f t="shared" si="22"/>
        <v>2.5</v>
      </c>
      <c r="AC96" s="7">
        <f t="shared" si="26"/>
        <v>0.37</v>
      </c>
      <c r="AG96" s="8">
        <f t="shared" si="23"/>
        <v>1959.617660224646</v>
      </c>
      <c r="AH96" s="8">
        <f t="shared" si="27"/>
        <v>2444.8</v>
      </c>
      <c r="AI96" s="8">
        <f t="shared" si="24"/>
        <v>485.1823397753542</v>
      </c>
      <c r="AJ96" s="8">
        <f t="shared" si="28"/>
        <v>0</v>
      </c>
    </row>
    <row r="97" spans="22:36" ht="15.75">
      <c r="V97" s="16">
        <v>72</v>
      </c>
      <c r="W97" s="16">
        <f t="shared" si="18"/>
        <v>72</v>
      </c>
      <c r="X97" s="14">
        <f>W97*$W$22</f>
        <v>1.3859963137947253</v>
      </c>
      <c r="Y97" s="14">
        <f t="shared" si="19"/>
        <v>0.19784351359097863</v>
      </c>
      <c r="Z97" s="8">
        <f t="shared" si="20"/>
        <v>2.4789963405592124</v>
      </c>
      <c r="AA97" s="7">
        <f t="shared" si="21"/>
        <v>38</v>
      </c>
      <c r="AB97" s="7">
        <f t="shared" si="22"/>
        <v>0</v>
      </c>
      <c r="AC97" s="7">
        <f t="shared" si="26"/>
        <v>0.38</v>
      </c>
      <c r="AG97" s="8">
        <f t="shared" si="23"/>
        <v>1945.51632807087</v>
      </c>
      <c r="AH97" s="8">
        <f t="shared" si="27"/>
        <v>2444.8</v>
      </c>
      <c r="AI97" s="8">
        <f t="shared" si="24"/>
        <v>499.28367192913015</v>
      </c>
      <c r="AJ97" s="8">
        <f t="shared" si="28"/>
        <v>0</v>
      </c>
    </row>
    <row r="98" spans="22:36" ht="15.75">
      <c r="V98" s="16">
        <v>73</v>
      </c>
      <c r="W98" s="16">
        <f t="shared" si="18"/>
        <v>73</v>
      </c>
      <c r="X98" s="14">
        <f aca="true" t="shared" si="29" ref="X98:X125">W98*$W$22</f>
        <v>1.4052462625974298</v>
      </c>
      <c r="Y98" s="14">
        <f t="shared" si="19"/>
        <v>0.23419310136050786</v>
      </c>
      <c r="Z98" s="8">
        <f t="shared" si="20"/>
        <v>2.4573930834707194</v>
      </c>
      <c r="AA98" s="7">
        <f t="shared" si="21"/>
        <v>38</v>
      </c>
      <c r="AB98" s="7">
        <f t="shared" si="22"/>
        <v>2.5</v>
      </c>
      <c r="AC98" s="7">
        <f t="shared" si="26"/>
        <v>0.38</v>
      </c>
      <c r="AG98" s="8">
        <f t="shared" si="23"/>
        <v>1928.5620919078208</v>
      </c>
      <c r="AH98" s="8">
        <f t="shared" si="27"/>
        <v>2444.8</v>
      </c>
      <c r="AI98" s="8">
        <f t="shared" si="24"/>
        <v>516.2379080921794</v>
      </c>
      <c r="AJ98" s="8">
        <f t="shared" si="28"/>
        <v>0</v>
      </c>
    </row>
    <row r="99" spans="22:36" ht="15.75">
      <c r="V99" s="16">
        <v>74</v>
      </c>
      <c r="W99" s="16">
        <f t="shared" si="18"/>
        <v>74</v>
      </c>
      <c r="X99" s="14">
        <f t="shared" si="29"/>
        <v>1.4244962114001343</v>
      </c>
      <c r="Y99" s="14">
        <f t="shared" si="19"/>
        <v>0.2705426891300371</v>
      </c>
      <c r="Z99" s="8">
        <f t="shared" si="20"/>
        <v>2.4321546275936523</v>
      </c>
      <c r="AA99" s="7">
        <f t="shared" si="21"/>
        <v>39</v>
      </c>
      <c r="AB99" s="7">
        <f t="shared" si="22"/>
        <v>0</v>
      </c>
      <c r="AC99" s="7">
        <f t="shared" si="26"/>
        <v>0.39</v>
      </c>
      <c r="AG99" s="8">
        <f t="shared" si="23"/>
        <v>1908.7549517354985</v>
      </c>
      <c r="AH99" s="8">
        <f t="shared" si="27"/>
        <v>2444.8</v>
      </c>
      <c r="AI99" s="8">
        <f t="shared" si="24"/>
        <v>536.0450482645017</v>
      </c>
      <c r="AJ99" s="8">
        <f t="shared" si="28"/>
        <v>0</v>
      </c>
    </row>
    <row r="100" spans="22:36" ht="15.75">
      <c r="V100" s="16">
        <v>75</v>
      </c>
      <c r="W100" s="16">
        <f t="shared" si="18"/>
        <v>75</v>
      </c>
      <c r="X100" s="14">
        <f t="shared" si="29"/>
        <v>1.4437461602028387</v>
      </c>
      <c r="Y100" s="14">
        <f t="shared" si="19"/>
        <v>0.30689227689956633</v>
      </c>
      <c r="Z100" s="8">
        <f t="shared" si="20"/>
        <v>2.403280972928009</v>
      </c>
      <c r="AA100" s="7">
        <f t="shared" si="21"/>
        <v>39</v>
      </c>
      <c r="AB100" s="7">
        <f t="shared" si="22"/>
        <v>2.5</v>
      </c>
      <c r="AC100" s="7">
        <f t="shared" si="26"/>
        <v>0.39</v>
      </c>
      <c r="AG100" s="8">
        <f t="shared" si="23"/>
        <v>1886.0949075539015</v>
      </c>
      <c r="AH100" s="8">
        <f t="shared" si="27"/>
        <v>2444.8</v>
      </c>
      <c r="AI100" s="8">
        <f t="shared" si="24"/>
        <v>558.7050924460987</v>
      </c>
      <c r="AJ100" s="8">
        <f t="shared" si="28"/>
        <v>0</v>
      </c>
    </row>
    <row r="101" spans="22:36" ht="15.75">
      <c r="V101" s="16">
        <v>76</v>
      </c>
      <c r="W101" s="16">
        <f t="shared" si="18"/>
        <v>76</v>
      </c>
      <c r="X101" s="14">
        <f t="shared" si="29"/>
        <v>1.4629961090055432</v>
      </c>
      <c r="Y101" s="14">
        <f t="shared" si="19"/>
        <v>0.34324186466909556</v>
      </c>
      <c r="Z101" s="8">
        <f t="shared" si="20"/>
        <v>2.370772119473791</v>
      </c>
      <c r="AA101" s="7">
        <f t="shared" si="21"/>
        <v>40</v>
      </c>
      <c r="AB101" s="7">
        <f t="shared" si="22"/>
        <v>0</v>
      </c>
      <c r="AC101" s="7">
        <f t="shared" si="26"/>
        <v>0.4</v>
      </c>
      <c r="AG101" s="8">
        <f t="shared" si="23"/>
        <v>1860.5819593630313</v>
      </c>
      <c r="AH101" s="8">
        <f t="shared" si="27"/>
        <v>2444.8</v>
      </c>
      <c r="AI101" s="8">
        <f t="shared" si="24"/>
        <v>584.2180406369689</v>
      </c>
      <c r="AJ101" s="8">
        <f t="shared" si="28"/>
        <v>0</v>
      </c>
    </row>
    <row r="102" spans="22:36" ht="15.75">
      <c r="V102" s="16">
        <v>77</v>
      </c>
      <c r="W102" s="16">
        <f t="shared" si="18"/>
        <v>77</v>
      </c>
      <c r="X102" s="14">
        <f t="shared" si="29"/>
        <v>1.4822460578082477</v>
      </c>
      <c r="Y102" s="14">
        <f t="shared" si="19"/>
        <v>0.3795914524386248</v>
      </c>
      <c r="Z102" s="8">
        <f t="shared" si="20"/>
        <v>2.3346280672309967</v>
      </c>
      <c r="AA102" s="7">
        <f t="shared" si="21"/>
        <v>40</v>
      </c>
      <c r="AB102" s="7">
        <f t="shared" si="22"/>
        <v>2.5</v>
      </c>
      <c r="AC102" s="7">
        <f t="shared" si="26"/>
        <v>0.4</v>
      </c>
      <c r="AG102" s="8">
        <f t="shared" si="23"/>
        <v>1832.2161071628864</v>
      </c>
      <c r="AH102" s="8">
        <f t="shared" si="27"/>
        <v>2444.8</v>
      </c>
      <c r="AI102" s="8">
        <f t="shared" si="24"/>
        <v>612.5838928371138</v>
      </c>
      <c r="AJ102" s="8">
        <f t="shared" si="28"/>
        <v>0</v>
      </c>
    </row>
    <row r="103" spans="22:36" ht="15.75">
      <c r="V103" s="16">
        <v>78</v>
      </c>
      <c r="W103" s="16">
        <f t="shared" si="18"/>
        <v>78</v>
      </c>
      <c r="X103" s="14">
        <f t="shared" si="29"/>
        <v>1.5014960066109524</v>
      </c>
      <c r="Y103" s="14">
        <f t="shared" si="19"/>
        <v>0.4159410402081545</v>
      </c>
      <c r="Z103" s="8">
        <f t="shared" si="20"/>
        <v>2.2948488161996283</v>
      </c>
      <c r="AA103" s="7">
        <f t="shared" si="21"/>
        <v>41</v>
      </c>
      <c r="AB103" s="7">
        <f t="shared" si="22"/>
        <v>0</v>
      </c>
      <c r="AC103" s="7">
        <f t="shared" si="26"/>
        <v>0.41000000000000003</v>
      </c>
      <c r="AG103" s="8">
        <f t="shared" si="23"/>
        <v>1800.9973509534684</v>
      </c>
      <c r="AH103" s="8">
        <f t="shared" si="27"/>
        <v>2444.8</v>
      </c>
      <c r="AI103" s="8">
        <f t="shared" si="24"/>
        <v>643.8026490465318</v>
      </c>
      <c r="AJ103" s="8">
        <f t="shared" si="28"/>
        <v>0</v>
      </c>
    </row>
    <row r="104" spans="22:36" ht="15.75">
      <c r="V104" s="16">
        <v>79</v>
      </c>
      <c r="W104" s="16">
        <f t="shared" si="18"/>
        <v>79</v>
      </c>
      <c r="X104" s="14">
        <f t="shared" si="29"/>
        <v>1.5207459554136569</v>
      </c>
      <c r="Y104" s="14">
        <f t="shared" si="19"/>
        <v>0.4522906279776837</v>
      </c>
      <c r="Z104" s="8">
        <f t="shared" si="20"/>
        <v>2.2514343663796845</v>
      </c>
      <c r="AA104" s="7">
        <f t="shared" si="21"/>
        <v>41</v>
      </c>
      <c r="AB104" s="7">
        <f t="shared" si="22"/>
        <v>2.5</v>
      </c>
      <c r="AC104" s="7">
        <f t="shared" si="26"/>
        <v>0.41000000000000003</v>
      </c>
      <c r="AG104" s="8">
        <f t="shared" si="23"/>
        <v>1766.9256907347765</v>
      </c>
      <c r="AH104" s="8">
        <f t="shared" si="27"/>
        <v>2444.8</v>
      </c>
      <c r="AI104" s="8">
        <f t="shared" si="24"/>
        <v>677.8743092652237</v>
      </c>
      <c r="AJ104" s="8">
        <f t="shared" si="28"/>
        <v>0</v>
      </c>
    </row>
    <row r="105" spans="22:36" ht="15.75">
      <c r="V105" s="16">
        <v>80</v>
      </c>
      <c r="W105" s="16">
        <f t="shared" si="18"/>
        <v>80</v>
      </c>
      <c r="X105" s="14">
        <f t="shared" si="29"/>
        <v>1.5399959042163613</v>
      </c>
      <c r="Y105" s="14">
        <f t="shared" si="19"/>
        <v>0.48864021574721295</v>
      </c>
      <c r="Z105" s="8">
        <f t="shared" si="20"/>
        <v>2.2043847177711653</v>
      </c>
      <c r="AA105" s="7">
        <f t="shared" si="21"/>
        <v>42</v>
      </c>
      <c r="AB105" s="7">
        <f t="shared" si="22"/>
        <v>0</v>
      </c>
      <c r="AC105" s="7">
        <f t="shared" si="26"/>
        <v>0.42</v>
      </c>
      <c r="AG105" s="8">
        <f t="shared" si="23"/>
        <v>1730.0011265068106</v>
      </c>
      <c r="AH105" s="8">
        <f t="shared" si="27"/>
        <v>2444.8</v>
      </c>
      <c r="AI105" s="8">
        <f t="shared" si="24"/>
        <v>714.7988734931896</v>
      </c>
      <c r="AJ105" s="8">
        <f t="shared" si="28"/>
        <v>0</v>
      </c>
    </row>
    <row r="106" spans="22:36" ht="15.75">
      <c r="V106" s="16">
        <v>81</v>
      </c>
      <c r="W106" s="16">
        <f t="shared" si="18"/>
        <v>81</v>
      </c>
      <c r="X106" s="14">
        <f t="shared" si="29"/>
        <v>1.5592458530190658</v>
      </c>
      <c r="Y106" s="14">
        <f t="shared" si="19"/>
        <v>0.5249898035167422</v>
      </c>
      <c r="Z106" s="8">
        <f t="shared" si="20"/>
        <v>2.153699870374071</v>
      </c>
      <c r="AA106" s="7">
        <f t="shared" si="21"/>
        <v>42</v>
      </c>
      <c r="AB106" s="7">
        <f t="shared" si="22"/>
        <v>2.5</v>
      </c>
      <c r="AC106" s="7">
        <f t="shared" si="26"/>
        <v>0.42</v>
      </c>
      <c r="AG106" s="8">
        <f t="shared" si="23"/>
        <v>1690.2236582695712</v>
      </c>
      <c r="AH106" s="8">
        <f t="shared" si="27"/>
        <v>2444.8</v>
      </c>
      <c r="AI106" s="8">
        <f t="shared" si="24"/>
        <v>754.576341730429</v>
      </c>
      <c r="AJ106" s="8">
        <f t="shared" si="28"/>
        <v>0</v>
      </c>
    </row>
    <row r="107" spans="22:36" ht="15.75">
      <c r="V107" s="16">
        <v>82</v>
      </c>
      <c r="W107" s="16">
        <f t="shared" si="18"/>
        <v>82</v>
      </c>
      <c r="X107" s="14">
        <f t="shared" si="29"/>
        <v>1.5784958018217703</v>
      </c>
      <c r="Y107" s="14">
        <f t="shared" si="19"/>
        <v>0.5613393912862714</v>
      </c>
      <c r="Z107" s="8">
        <f t="shared" si="20"/>
        <v>2.0993798241884014</v>
      </c>
      <c r="AA107" s="7">
        <f t="shared" si="21"/>
        <v>43</v>
      </c>
      <c r="AB107" s="7">
        <f t="shared" si="22"/>
        <v>0</v>
      </c>
      <c r="AC107" s="7">
        <f t="shared" si="26"/>
        <v>0.43</v>
      </c>
      <c r="AG107" s="8">
        <f t="shared" si="23"/>
        <v>1647.5932860230575</v>
      </c>
      <c r="AH107" s="8">
        <f t="shared" si="27"/>
        <v>2444.8</v>
      </c>
      <c r="AI107" s="8">
        <f t="shared" si="24"/>
        <v>797.2067139769426</v>
      </c>
      <c r="AJ107" s="8">
        <f t="shared" si="28"/>
        <v>0</v>
      </c>
    </row>
    <row r="108" spans="22:36" ht="15.75">
      <c r="V108" s="16">
        <v>83</v>
      </c>
      <c r="W108" s="16">
        <f t="shared" si="18"/>
        <v>83</v>
      </c>
      <c r="X108" s="14">
        <f t="shared" si="29"/>
        <v>1.597745750624475</v>
      </c>
      <c r="Y108" s="14">
        <f t="shared" si="19"/>
        <v>0.5976889790558011</v>
      </c>
      <c r="Z108" s="8">
        <f t="shared" si="20"/>
        <v>2.0414245792141568</v>
      </c>
      <c r="AA108" s="7">
        <f t="shared" si="21"/>
        <v>43</v>
      </c>
      <c r="AB108" s="7">
        <f t="shared" si="22"/>
        <v>2.5</v>
      </c>
      <c r="AC108" s="7">
        <f t="shared" si="26"/>
        <v>0.43</v>
      </c>
      <c r="AG108" s="8">
        <f t="shared" si="23"/>
        <v>1602.1100097672704</v>
      </c>
      <c r="AH108" s="8">
        <f t="shared" si="27"/>
        <v>2444.8</v>
      </c>
      <c r="AI108" s="8">
        <f t="shared" si="24"/>
        <v>842.6899902327298</v>
      </c>
      <c r="AJ108" s="8">
        <f t="shared" si="28"/>
        <v>0</v>
      </c>
    </row>
    <row r="109" spans="22:36" ht="15.75">
      <c r="V109" s="16">
        <v>84</v>
      </c>
      <c r="W109" s="16">
        <f t="shared" si="18"/>
        <v>84</v>
      </c>
      <c r="X109" s="14">
        <f t="shared" si="29"/>
        <v>1.6169956994271795</v>
      </c>
      <c r="Y109" s="14">
        <f t="shared" si="19"/>
        <v>0.6340385668253303</v>
      </c>
      <c r="Z109" s="8">
        <f t="shared" si="20"/>
        <v>1.9798341354513371</v>
      </c>
      <c r="AA109" s="7">
        <f t="shared" si="21"/>
        <v>44</v>
      </c>
      <c r="AB109" s="7">
        <f t="shared" si="22"/>
        <v>0</v>
      </c>
      <c r="AC109" s="7">
        <f t="shared" si="26"/>
        <v>0.44</v>
      </c>
      <c r="AG109" s="8">
        <f t="shared" si="23"/>
        <v>1553.7738295022095</v>
      </c>
      <c r="AH109" s="8">
        <f t="shared" si="27"/>
        <v>2444.8</v>
      </c>
      <c r="AI109" s="8">
        <f t="shared" si="24"/>
        <v>891.0261704977906</v>
      </c>
      <c r="AJ109" s="8">
        <f t="shared" si="28"/>
        <v>0</v>
      </c>
    </row>
    <row r="110" spans="22:36" ht="15.75">
      <c r="V110" s="16">
        <v>85</v>
      </c>
      <c r="W110" s="16">
        <f t="shared" si="18"/>
        <v>85</v>
      </c>
      <c r="X110" s="14">
        <f t="shared" si="29"/>
        <v>1.636245648229884</v>
      </c>
      <c r="Y110" s="14">
        <f t="shared" si="19"/>
        <v>0.6703881545948596</v>
      </c>
      <c r="Z110" s="8">
        <f t="shared" si="20"/>
        <v>1.9146084928999416</v>
      </c>
      <c r="AA110" s="7">
        <f t="shared" si="21"/>
        <v>44</v>
      </c>
      <c r="AB110" s="7">
        <f t="shared" si="22"/>
        <v>2.5</v>
      </c>
      <c r="AC110" s="7">
        <f t="shared" si="26"/>
        <v>0.44</v>
      </c>
      <c r="AG110" s="8">
        <f t="shared" si="23"/>
        <v>1502.5847452278742</v>
      </c>
      <c r="AH110" s="8">
        <f t="shared" si="27"/>
        <v>2444.8</v>
      </c>
      <c r="AI110" s="8">
        <f t="shared" si="24"/>
        <v>942.215254772126</v>
      </c>
      <c r="AJ110" s="8">
        <f t="shared" si="28"/>
        <v>0</v>
      </c>
    </row>
    <row r="111" spans="22:36" ht="15.75">
      <c r="V111" s="16">
        <v>86</v>
      </c>
      <c r="W111" s="16">
        <f t="shared" si="18"/>
        <v>86</v>
      </c>
      <c r="X111" s="14">
        <f t="shared" si="29"/>
        <v>1.6554955970325884</v>
      </c>
      <c r="Y111" s="14">
        <f t="shared" si="19"/>
        <v>0.7067377423643888</v>
      </c>
      <c r="Z111" s="8">
        <f t="shared" si="20"/>
        <v>1.8457476515599724</v>
      </c>
      <c r="AA111" s="7">
        <f t="shared" si="21"/>
        <v>45</v>
      </c>
      <c r="AB111" s="7">
        <f t="shared" si="22"/>
        <v>0</v>
      </c>
      <c r="AC111" s="7">
        <f t="shared" si="26"/>
        <v>0.45</v>
      </c>
      <c r="AG111" s="8">
        <f t="shared" si="23"/>
        <v>1448.5427569442666</v>
      </c>
      <c r="AH111" s="8">
        <f t="shared" si="27"/>
        <v>2444.8</v>
      </c>
      <c r="AI111" s="8">
        <f t="shared" si="24"/>
        <v>996.2572430557336</v>
      </c>
      <c r="AJ111" s="8">
        <f t="shared" si="28"/>
        <v>0</v>
      </c>
    </row>
    <row r="112" spans="22:36" ht="15.75">
      <c r="V112" s="16">
        <v>87</v>
      </c>
      <c r="W112" s="16">
        <f t="shared" si="18"/>
        <v>87</v>
      </c>
      <c r="X112" s="14">
        <f t="shared" si="29"/>
        <v>1.674745545835293</v>
      </c>
      <c r="Y112" s="14">
        <f t="shared" si="19"/>
        <v>0.7430873301339183</v>
      </c>
      <c r="Z112" s="8">
        <f t="shared" si="20"/>
        <v>1.7732516114314274</v>
      </c>
      <c r="AA112" s="7">
        <f t="shared" si="21"/>
        <v>45</v>
      </c>
      <c r="AB112" s="7">
        <f t="shared" si="22"/>
        <v>2.5</v>
      </c>
      <c r="AC112" s="7">
        <f t="shared" si="26"/>
        <v>0.45</v>
      </c>
      <c r="AG112" s="8">
        <f t="shared" si="23"/>
        <v>1391.6478646513845</v>
      </c>
      <c r="AH112" s="8">
        <f t="shared" si="27"/>
        <v>2444.8</v>
      </c>
      <c r="AI112" s="8">
        <f t="shared" si="24"/>
        <v>1053.1521353486157</v>
      </c>
      <c r="AJ112" s="8">
        <f t="shared" si="28"/>
        <v>0</v>
      </c>
    </row>
    <row r="113" spans="22:36" ht="15.75">
      <c r="V113" s="16">
        <v>88</v>
      </c>
      <c r="W113" s="16">
        <f t="shared" si="18"/>
        <v>88</v>
      </c>
      <c r="X113" s="14">
        <f t="shared" si="29"/>
        <v>1.6939954946379974</v>
      </c>
      <c r="Y113" s="14">
        <f t="shared" si="19"/>
        <v>0.7794369179034475</v>
      </c>
      <c r="Z113" s="8">
        <f t="shared" si="20"/>
        <v>1.6971203725143074</v>
      </c>
      <c r="AA113" s="7">
        <f t="shared" si="21"/>
        <v>46</v>
      </c>
      <c r="AB113" s="7">
        <f t="shared" si="22"/>
        <v>0</v>
      </c>
      <c r="AC113" s="7">
        <f t="shared" si="26"/>
        <v>0.46</v>
      </c>
      <c r="AG113" s="8">
        <f t="shared" si="23"/>
        <v>1331.9000683492286</v>
      </c>
      <c r="AH113" s="8">
        <f t="shared" si="27"/>
        <v>2444.8</v>
      </c>
      <c r="AI113" s="8">
        <f t="shared" si="24"/>
        <v>1112.8999316507716</v>
      </c>
      <c r="AJ113" s="8">
        <f t="shared" si="28"/>
        <v>0</v>
      </c>
    </row>
    <row r="114" spans="22:36" ht="15.75">
      <c r="V114" s="16">
        <v>89</v>
      </c>
      <c r="W114" s="16">
        <f t="shared" si="18"/>
        <v>89</v>
      </c>
      <c r="X114" s="14">
        <f t="shared" si="29"/>
        <v>1.713245443440702</v>
      </c>
      <c r="Y114" s="14">
        <f t="shared" si="19"/>
        <v>0.8157865056729772</v>
      </c>
      <c r="Z114" s="8">
        <f t="shared" si="20"/>
        <v>1.6173539348086106</v>
      </c>
      <c r="AA114" s="7">
        <f t="shared" si="21"/>
        <v>46</v>
      </c>
      <c r="AB114" s="7">
        <f t="shared" si="22"/>
        <v>2.5</v>
      </c>
      <c r="AC114" s="7">
        <f t="shared" si="26"/>
        <v>0.46</v>
      </c>
      <c r="AG114" s="8">
        <f t="shared" si="23"/>
        <v>1269.2993680377976</v>
      </c>
      <c r="AH114" s="8">
        <f t="shared" si="27"/>
        <v>2444.8</v>
      </c>
      <c r="AI114" s="8">
        <f t="shared" si="24"/>
        <v>1175.5006319622025</v>
      </c>
      <c r="AJ114" s="8">
        <f t="shared" si="28"/>
        <v>0</v>
      </c>
    </row>
    <row r="115" spans="22:36" ht="15.75">
      <c r="V115" s="16">
        <v>90</v>
      </c>
      <c r="W115" s="16">
        <f t="shared" si="18"/>
        <v>90</v>
      </c>
      <c r="X115" s="14">
        <f t="shared" si="29"/>
        <v>1.7324953922434065</v>
      </c>
      <c r="Y115" s="14">
        <f t="shared" si="19"/>
        <v>0.8521360934425066</v>
      </c>
      <c r="Z115" s="8">
        <f t="shared" si="20"/>
        <v>1.5339522983143397</v>
      </c>
      <c r="AA115" s="7">
        <f t="shared" si="21"/>
        <v>47</v>
      </c>
      <c r="AB115" s="7">
        <f t="shared" si="22"/>
        <v>0</v>
      </c>
      <c r="AC115" s="7">
        <f t="shared" si="26"/>
        <v>0.47000000000000003</v>
      </c>
      <c r="AG115" s="8">
        <f t="shared" si="23"/>
        <v>1203.8457637170939</v>
      </c>
      <c r="AH115" s="8">
        <f t="shared" si="27"/>
        <v>2444.8</v>
      </c>
      <c r="AI115" s="8">
        <f t="shared" si="24"/>
        <v>1240.9542362829063</v>
      </c>
      <c r="AJ115" s="8">
        <f t="shared" si="28"/>
        <v>0</v>
      </c>
    </row>
    <row r="116" spans="22:36" ht="15.75">
      <c r="V116" s="16">
        <v>91</v>
      </c>
      <c r="W116" s="16">
        <f t="shared" si="18"/>
        <v>91</v>
      </c>
      <c r="X116" s="14">
        <f>W116*$W$22</f>
        <v>1.751745341046111</v>
      </c>
      <c r="Y116" s="14">
        <f t="shared" si="19"/>
        <v>0.8884856812120354</v>
      </c>
      <c r="Z116" s="8">
        <f t="shared" si="20"/>
        <v>1.4469154630314955</v>
      </c>
      <c r="AA116" s="7">
        <f t="shared" si="21"/>
        <v>47</v>
      </c>
      <c r="AB116" s="7">
        <f t="shared" si="22"/>
        <v>2.5</v>
      </c>
      <c r="AC116" s="7">
        <f t="shared" si="26"/>
        <v>0.47000000000000003</v>
      </c>
      <c r="AG116" s="8">
        <f t="shared" si="23"/>
        <v>1135.5392553871177</v>
      </c>
      <c r="AH116" s="8">
        <f t="shared" si="27"/>
        <v>2444.8</v>
      </c>
      <c r="AI116" s="8">
        <f t="shared" si="24"/>
        <v>1309.2607446128825</v>
      </c>
      <c r="AJ116" s="8">
        <f t="shared" si="28"/>
        <v>0</v>
      </c>
    </row>
    <row r="117" spans="22:36" ht="15.75">
      <c r="V117" s="16">
        <v>92</v>
      </c>
      <c r="W117" s="16">
        <f t="shared" si="18"/>
        <v>92</v>
      </c>
      <c r="X117" s="14">
        <f t="shared" si="29"/>
        <v>1.7709952898488155</v>
      </c>
      <c r="Y117" s="14">
        <f t="shared" si="19"/>
        <v>0.9248352689815651</v>
      </c>
      <c r="Z117" s="8">
        <f t="shared" si="20"/>
        <v>1.356243428960072</v>
      </c>
      <c r="AA117" s="7">
        <f t="shared" si="21"/>
        <v>48</v>
      </c>
      <c r="AB117" s="7">
        <f t="shared" si="22"/>
        <v>0</v>
      </c>
      <c r="AC117" s="7">
        <f t="shared" si="26"/>
        <v>0.48</v>
      </c>
      <c r="AG117" s="8">
        <f t="shared" si="23"/>
        <v>1064.3798430478646</v>
      </c>
      <c r="AH117" s="8">
        <f t="shared" si="27"/>
        <v>2444.8</v>
      </c>
      <c r="AI117" s="8">
        <f t="shared" si="24"/>
        <v>1380.4201569521356</v>
      </c>
      <c r="AJ117" s="8">
        <f t="shared" si="28"/>
        <v>0</v>
      </c>
    </row>
    <row r="118" spans="22:36" ht="15.75">
      <c r="V118" s="16">
        <v>93</v>
      </c>
      <c r="W118" s="16">
        <f t="shared" si="18"/>
        <v>93</v>
      </c>
      <c r="X118" s="14">
        <f t="shared" si="29"/>
        <v>1.79024523865152</v>
      </c>
      <c r="Y118" s="14">
        <f t="shared" si="19"/>
        <v>0.9611848567510937</v>
      </c>
      <c r="Z118" s="8">
        <f t="shared" si="20"/>
        <v>1.261936196100078</v>
      </c>
      <c r="AA118" s="7">
        <f t="shared" si="21"/>
        <v>48</v>
      </c>
      <c r="AB118" s="7">
        <f t="shared" si="22"/>
        <v>2.5</v>
      </c>
      <c r="AC118" s="7">
        <f t="shared" si="26"/>
        <v>0.48</v>
      </c>
      <c r="AG118" s="8">
        <f t="shared" si="23"/>
        <v>990.3675266993412</v>
      </c>
      <c r="AH118" s="8">
        <f t="shared" si="27"/>
        <v>2444.8</v>
      </c>
      <c r="AI118" s="8">
        <f t="shared" si="24"/>
        <v>1454.432473300659</v>
      </c>
      <c r="AJ118" s="8">
        <f t="shared" si="28"/>
        <v>0</v>
      </c>
    </row>
    <row r="119" spans="22:36" ht="15.75">
      <c r="V119" s="16">
        <v>94</v>
      </c>
      <c r="W119" s="16">
        <f t="shared" si="18"/>
        <v>94</v>
      </c>
      <c r="X119" s="14">
        <f t="shared" si="29"/>
        <v>1.8094951874542247</v>
      </c>
      <c r="Y119" s="14">
        <f t="shared" si="19"/>
        <v>0.9975344445206236</v>
      </c>
      <c r="Z119" s="8">
        <f t="shared" si="20"/>
        <v>1.1639937644515062</v>
      </c>
      <c r="AA119" s="7">
        <f t="shared" si="21"/>
        <v>49</v>
      </c>
      <c r="AB119" s="7">
        <f t="shared" si="22"/>
        <v>0</v>
      </c>
      <c r="AC119" s="7">
        <f t="shared" si="26"/>
        <v>0.49</v>
      </c>
      <c r="AG119" s="8">
        <f t="shared" si="23"/>
        <v>913.5023063415421</v>
      </c>
      <c r="AH119" s="8">
        <f t="shared" si="27"/>
        <v>2444.8</v>
      </c>
      <c r="AI119" s="8">
        <f t="shared" si="24"/>
        <v>1531.2976936584582</v>
      </c>
      <c r="AJ119" s="8">
        <f t="shared" si="28"/>
        <v>0</v>
      </c>
    </row>
    <row r="120" spans="22:36" ht="15.75">
      <c r="V120" s="16">
        <v>95</v>
      </c>
      <c r="W120" s="16">
        <f aca="true" t="shared" si="30" ref="W120:W125">MIN(V120,$Q$3)</f>
        <v>95</v>
      </c>
      <c r="X120" s="14">
        <f t="shared" si="29"/>
        <v>1.8287451362569291</v>
      </c>
      <c r="Y120" s="14">
        <f aca="true" t="shared" si="31" ref="Y120:Y125">IF(X120&lt;$W$16,-$W$5+$W$15*X120,-$W$19+$F$3*COS($F$4/180*PI())*(X120-$W$16))</f>
        <v>1.033884032290153</v>
      </c>
      <c r="Z120" s="8">
        <f aca="true" t="shared" si="32" ref="Z120:Z125">IF(X120&lt;$W$16,$AE$29,$AE$29+$F$3*SIN($F$4/180*PI())*(X120-$W$16)-0.5*9.81*(X120-$W$16)^2)</f>
        <v>1.0624161340143576</v>
      </c>
      <c r="AA120" s="7">
        <f t="shared" si="21"/>
        <v>49</v>
      </c>
      <c r="AB120" s="7">
        <f t="shared" si="22"/>
        <v>2.5</v>
      </c>
      <c r="AC120" s="7">
        <f t="shared" si="26"/>
        <v>0.49</v>
      </c>
      <c r="AG120" s="8">
        <f aca="true" t="shared" si="33" ref="AG120:AG125">$F$2*9.81*Z120</f>
        <v>833.784181974468</v>
      </c>
      <c r="AH120" s="8">
        <f t="shared" si="27"/>
        <v>2444.8</v>
      </c>
      <c r="AI120" s="8">
        <f aca="true" t="shared" si="34" ref="AI120:AI125">IF(X120&lt;$W$16,0.5*$F$2*$W$15^2,AH120-AG120)</f>
        <v>1611.015818025532</v>
      </c>
      <c r="AJ120" s="8">
        <f t="shared" si="28"/>
        <v>0</v>
      </c>
    </row>
    <row r="121" spans="22:36" ht="15.75">
      <c r="V121" s="16">
        <v>96</v>
      </c>
      <c r="W121" s="16">
        <f t="shared" si="30"/>
        <v>96</v>
      </c>
      <c r="X121" s="14">
        <f t="shared" si="29"/>
        <v>1.8479950850596336</v>
      </c>
      <c r="Y121" s="14">
        <f t="shared" si="31"/>
        <v>1.070233620059682</v>
      </c>
      <c r="Z121" s="8">
        <f t="shared" si="32"/>
        <v>0.9572033047886377</v>
      </c>
      <c r="AA121" s="7">
        <f t="shared" si="21"/>
        <v>50</v>
      </c>
      <c r="AB121" s="7">
        <f t="shared" si="22"/>
        <v>0</v>
      </c>
      <c r="AC121" s="7">
        <f t="shared" si="26"/>
        <v>0.5</v>
      </c>
      <c r="AG121" s="8">
        <f t="shared" si="33"/>
        <v>751.213153598123</v>
      </c>
      <c r="AH121" s="8">
        <f t="shared" si="27"/>
        <v>2444.8</v>
      </c>
      <c r="AI121" s="8">
        <f t="shared" si="34"/>
        <v>1693.5868464018772</v>
      </c>
      <c r="AJ121" s="8">
        <f t="shared" si="28"/>
        <v>0</v>
      </c>
    </row>
    <row r="122" spans="22:36" ht="15.75">
      <c r="V122" s="16">
        <v>97</v>
      </c>
      <c r="W122" s="16">
        <f t="shared" si="30"/>
        <v>97</v>
      </c>
      <c r="X122" s="14">
        <f t="shared" si="29"/>
        <v>1.867245033862338</v>
      </c>
      <c r="Y122" s="14">
        <f t="shared" si="31"/>
        <v>1.1065832078292115</v>
      </c>
      <c r="Z122" s="8">
        <f t="shared" si="32"/>
        <v>0.8483552767743401</v>
      </c>
      <c r="AA122" s="7">
        <f t="shared" si="21"/>
        <v>50</v>
      </c>
      <c r="AB122" s="7">
        <f t="shared" si="22"/>
        <v>2.5</v>
      </c>
      <c r="AC122" s="7">
        <f t="shared" si="26"/>
        <v>0.5</v>
      </c>
      <c r="AG122" s="8">
        <f t="shared" si="33"/>
        <v>665.7892212125022</v>
      </c>
      <c r="AH122" s="8">
        <f t="shared" si="27"/>
        <v>2444.8</v>
      </c>
      <c r="AI122" s="8">
        <f t="shared" si="34"/>
        <v>1779.010778787498</v>
      </c>
      <c r="AJ122" s="8">
        <f t="shared" si="28"/>
        <v>0</v>
      </c>
    </row>
    <row r="123" spans="22:36" ht="15.75">
      <c r="V123" s="16">
        <v>98</v>
      </c>
      <c r="W123" s="16">
        <f t="shared" si="30"/>
        <v>98</v>
      </c>
      <c r="X123" s="14">
        <f t="shared" si="29"/>
        <v>1.8864949826650426</v>
      </c>
      <c r="Y123" s="14">
        <f t="shared" si="31"/>
        <v>1.1429327955987405</v>
      </c>
      <c r="Z123" s="8">
        <f t="shared" si="32"/>
        <v>0.7358720499714693</v>
      </c>
      <c r="AA123" s="7"/>
      <c r="AB123" s="7"/>
      <c r="AC123" s="7"/>
      <c r="AG123" s="8">
        <f t="shared" si="33"/>
        <v>577.5123848176091</v>
      </c>
      <c r="AH123" s="8">
        <f t="shared" si="27"/>
        <v>2444.8</v>
      </c>
      <c r="AI123" s="8">
        <f t="shared" si="34"/>
        <v>1867.2876151823912</v>
      </c>
      <c r="AJ123" s="8">
        <f t="shared" si="28"/>
        <v>0</v>
      </c>
    </row>
    <row r="124" spans="22:36" ht="15.75">
      <c r="V124" s="16">
        <v>99</v>
      </c>
      <c r="W124" s="16">
        <f t="shared" si="30"/>
        <v>99</v>
      </c>
      <c r="X124" s="14">
        <f t="shared" si="29"/>
        <v>1.9057449314677473</v>
      </c>
      <c r="Y124" s="14">
        <f t="shared" si="31"/>
        <v>1.1792823833682704</v>
      </c>
      <c r="Z124" s="8">
        <f t="shared" si="32"/>
        <v>0.6197536243800208</v>
      </c>
      <c r="AA124" s="7"/>
      <c r="AB124" s="7"/>
      <c r="AC124" s="7"/>
      <c r="AG124" s="8">
        <f t="shared" si="33"/>
        <v>486.38264441344035</v>
      </c>
      <c r="AH124" s="8">
        <f t="shared" si="27"/>
        <v>2444.8</v>
      </c>
      <c r="AI124" s="8">
        <f t="shared" si="34"/>
        <v>1958.4173555865598</v>
      </c>
      <c r="AJ124" s="8">
        <f t="shared" si="28"/>
        <v>0</v>
      </c>
    </row>
    <row r="125" spans="22:36" ht="15.75">
      <c r="V125" s="16">
        <v>100</v>
      </c>
      <c r="W125" s="16">
        <f t="shared" si="30"/>
        <v>100</v>
      </c>
      <c r="X125" s="14">
        <f t="shared" si="29"/>
        <v>1.9249948802704517</v>
      </c>
      <c r="Y125" s="14">
        <f t="shared" si="31"/>
        <v>1.2156319711377999</v>
      </c>
      <c r="Z125" s="8">
        <f t="shared" si="32"/>
        <v>0.49999999999999645</v>
      </c>
      <c r="AA125" s="7"/>
      <c r="AB125" s="7"/>
      <c r="AC125" s="7"/>
      <c r="AG125" s="8">
        <f t="shared" si="33"/>
        <v>392.39999999999725</v>
      </c>
      <c r="AH125" s="8">
        <f t="shared" si="27"/>
        <v>2444.8</v>
      </c>
      <c r="AI125" s="8">
        <f t="shared" si="34"/>
        <v>2052.400000000003</v>
      </c>
      <c r="AJ125" s="8">
        <f t="shared" si="28"/>
        <v>0</v>
      </c>
    </row>
    <row r="126" spans="23:29" ht="15.75">
      <c r="W126" s="27"/>
      <c r="AA126" s="7"/>
      <c r="AB126" s="7"/>
      <c r="AC126" s="7"/>
    </row>
    <row r="127" spans="23:29" ht="15.75">
      <c r="W127" s="27"/>
      <c r="AA127" s="7"/>
      <c r="AB127" s="7"/>
      <c r="AC127" s="7"/>
    </row>
    <row r="128" spans="23:29" ht="15.75">
      <c r="W128" s="27"/>
      <c r="AA128" s="7"/>
      <c r="AB128" s="7"/>
      <c r="AC128" s="7"/>
    </row>
    <row r="129" spans="23:29" ht="15.75">
      <c r="W129" s="27"/>
      <c r="AA129" s="7"/>
      <c r="AB129" s="7"/>
      <c r="AC129" s="7"/>
    </row>
    <row r="130" spans="23:29" ht="15.75">
      <c r="W130" s="27"/>
      <c r="AA130" s="7"/>
      <c r="AB130" s="7"/>
      <c r="AC130" s="7"/>
    </row>
    <row r="131" spans="23:29" ht="15.75">
      <c r="W131" s="27"/>
      <c r="AA131" s="7"/>
      <c r="AB131" s="7"/>
      <c r="AC131" s="7"/>
    </row>
    <row r="132" spans="23:29" ht="15.75">
      <c r="W132" s="27"/>
      <c r="AA132" s="7"/>
      <c r="AB132" s="7"/>
      <c r="AC132" s="7"/>
    </row>
    <row r="133" spans="23:29" ht="15.75">
      <c r="W133" s="27"/>
      <c r="AA133" s="7"/>
      <c r="AB133" s="7"/>
      <c r="AC133" s="7"/>
    </row>
    <row r="134" spans="23:29" ht="15.75">
      <c r="W134" s="27"/>
      <c r="AA134" s="7"/>
      <c r="AB134" s="7"/>
      <c r="AC134" s="7"/>
    </row>
    <row r="135" spans="23:29" ht="15.75">
      <c r="W135" s="27"/>
      <c r="AA135" s="7"/>
      <c r="AB135" s="7"/>
      <c r="AC135" s="7"/>
    </row>
    <row r="136" spans="23:29" ht="15.75">
      <c r="W136" s="27"/>
      <c r="AA136" s="7"/>
      <c r="AB136" s="7"/>
      <c r="AC136" s="7"/>
    </row>
    <row r="137" spans="23:29" ht="15.75">
      <c r="W137" s="27"/>
      <c r="AA137" s="7"/>
      <c r="AB137" s="7"/>
      <c r="AC137" s="7"/>
    </row>
    <row r="138" ht="15.75">
      <c r="W138" s="27"/>
    </row>
    <row r="139" ht="15.75">
      <c r="W139" s="27"/>
    </row>
    <row r="140" ht="15.75">
      <c r="W140" s="27"/>
    </row>
    <row r="141" ht="15.75">
      <c r="W141" s="27"/>
    </row>
    <row r="142" ht="15.75">
      <c r="W142" s="27"/>
    </row>
    <row r="143" ht="15.75">
      <c r="W143" s="27"/>
    </row>
    <row r="144" ht="15.75">
      <c r="W144" s="27"/>
    </row>
    <row r="145" ht="15.75">
      <c r="W145" s="27"/>
    </row>
    <row r="146" ht="15.75">
      <c r="W146" s="27"/>
    </row>
    <row r="147" ht="15.75">
      <c r="W147" s="27"/>
    </row>
    <row r="148" ht="15.75">
      <c r="W148" s="27"/>
    </row>
    <row r="149" ht="15.75">
      <c r="W149" s="27"/>
    </row>
    <row r="150" ht="15.75">
      <c r="W150" s="27"/>
    </row>
    <row r="151" ht="15.75">
      <c r="W151" s="27"/>
    </row>
    <row r="152" ht="15.75">
      <c r="W152" s="27"/>
    </row>
    <row r="153" ht="15.75">
      <c r="W153" s="27"/>
    </row>
    <row r="154" ht="15.75">
      <c r="W154" s="27"/>
    </row>
    <row r="155" ht="15.75">
      <c r="W155" s="27"/>
    </row>
    <row r="156" ht="15.75">
      <c r="W156" s="27"/>
    </row>
    <row r="157" ht="15.75">
      <c r="W157" s="27"/>
    </row>
    <row r="158" ht="15.75">
      <c r="W158" s="27"/>
    </row>
    <row r="159" ht="15.75">
      <c r="W159" s="27"/>
    </row>
    <row r="160" ht="15.75">
      <c r="W160" s="27"/>
    </row>
    <row r="161" ht="15.75">
      <c r="W161" s="27"/>
    </row>
    <row r="162" ht="15.75">
      <c r="W162" s="27"/>
    </row>
    <row r="163" ht="15.75">
      <c r="W163" s="27"/>
    </row>
    <row r="164" ht="15.75">
      <c r="W164" s="27"/>
    </row>
    <row r="165" ht="15.75">
      <c r="W165" s="27"/>
    </row>
    <row r="166" ht="15.75">
      <c r="W166" s="2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HZ166"/>
  <sheetViews>
    <sheetView showRowColHeaders="0" workbookViewId="0" topLeftCell="A1">
      <selection activeCell="J32" sqref="J32"/>
    </sheetView>
  </sheetViews>
  <sheetFormatPr defaultColWidth="9.140625" defaultRowHeight="12.75"/>
  <cols>
    <col min="1" max="4" width="9.140625" style="1" customWidth="1"/>
    <col min="5" max="5" width="10.57421875" style="1" bestFit="1" customWidth="1"/>
    <col min="6" max="6" width="12.421875" style="1" bestFit="1" customWidth="1"/>
    <col min="7" max="7" width="4.00390625" style="1" bestFit="1" customWidth="1"/>
    <col min="8" max="8" width="7.57421875" style="1" hidden="1" customWidth="1"/>
    <col min="9" max="9" width="9.7109375" style="1" customWidth="1"/>
    <col min="10" max="10" width="12.28125" style="1" bestFit="1" customWidth="1"/>
    <col min="11" max="11" width="9.140625" style="1" customWidth="1"/>
    <col min="12" max="12" width="10.00390625" style="1" bestFit="1" customWidth="1"/>
    <col min="13" max="13" width="71.57421875" style="1" customWidth="1"/>
    <col min="14" max="14" width="14.00390625" style="1" bestFit="1" customWidth="1"/>
    <col min="15" max="17" width="9.140625" style="1" customWidth="1"/>
    <col min="18" max="18" width="12.421875" style="1" bestFit="1" customWidth="1"/>
    <col min="19" max="19" width="15.28125" style="1" bestFit="1" customWidth="1"/>
    <col min="20" max="20" width="11.140625" style="1" bestFit="1" customWidth="1"/>
    <col min="21" max="21" width="9.140625" style="1" customWidth="1"/>
    <col min="22" max="22" width="14.7109375" style="1" bestFit="1" customWidth="1"/>
    <col min="23" max="23" width="10.421875" style="1" bestFit="1" customWidth="1"/>
    <col min="24" max="24" width="10.00390625" style="1" bestFit="1" customWidth="1"/>
    <col min="25" max="16384" width="9.140625" style="1" customWidth="1"/>
  </cols>
  <sheetData>
    <row r="2" spans="2:234" ht="15.75">
      <c r="B2" s="2" t="s">
        <v>0</v>
      </c>
      <c r="C2" s="2"/>
      <c r="D2" s="2" t="s">
        <v>2</v>
      </c>
      <c r="E2" s="2" t="s">
        <v>3</v>
      </c>
      <c r="F2" s="4">
        <f>0.5+H2*0.1</f>
        <v>1</v>
      </c>
      <c r="G2" s="2" t="s">
        <v>5</v>
      </c>
      <c r="H2" s="5">
        <v>5</v>
      </c>
      <c r="I2" s="2"/>
      <c r="J2" s="2" t="s">
        <v>9</v>
      </c>
      <c r="K2" s="28">
        <f>0.5+L2*0.1</f>
        <v>2</v>
      </c>
      <c r="L2" s="2">
        <v>15</v>
      </c>
      <c r="M2" s="1" t="s">
        <v>65</v>
      </c>
      <c r="N2" s="7" t="s">
        <v>10</v>
      </c>
      <c r="O2" s="7" t="s">
        <v>11</v>
      </c>
      <c r="S2" s="6" t="s">
        <v>63</v>
      </c>
      <c r="T2" s="1">
        <v>-0.05</v>
      </c>
      <c r="HZ2" s="1">
        <v>6</v>
      </c>
    </row>
    <row r="3" spans="2:20" ht="15.75">
      <c r="B3" s="2" t="s">
        <v>1</v>
      </c>
      <c r="C3" s="2">
        <v>80</v>
      </c>
      <c r="D3" s="2"/>
      <c r="E3" s="2" t="s">
        <v>4</v>
      </c>
      <c r="F3" s="4">
        <f>1+4*H3/20</f>
        <v>5</v>
      </c>
      <c r="G3" s="2" t="s">
        <v>6</v>
      </c>
      <c r="H3" s="5">
        <v>20</v>
      </c>
      <c r="I3" s="2"/>
      <c r="J3" s="2" t="s">
        <v>25</v>
      </c>
      <c r="K3" s="28">
        <f>L3/10</f>
        <v>0.5</v>
      </c>
      <c r="L3" s="2">
        <v>5</v>
      </c>
      <c r="N3" s="7">
        <v>0</v>
      </c>
      <c r="O3" s="8">
        <f>K2</f>
        <v>2</v>
      </c>
      <c r="S3" s="1" t="s">
        <v>3</v>
      </c>
      <c r="T3" s="1">
        <v>2.5</v>
      </c>
    </row>
    <row r="4" spans="2:20" ht="15.75">
      <c r="B4" s="2"/>
      <c r="C4" s="2"/>
      <c r="D4" s="2"/>
      <c r="E4" s="9" t="s">
        <v>59</v>
      </c>
      <c r="F4" s="5">
        <f>H4</f>
        <v>70</v>
      </c>
      <c r="G4" s="2" t="s">
        <v>7</v>
      </c>
      <c r="H4" s="5">
        <v>70</v>
      </c>
      <c r="I4" s="2"/>
      <c r="J4" s="2" t="s">
        <v>8</v>
      </c>
      <c r="K4" s="2"/>
      <c r="L4" s="2"/>
      <c r="S4" s="1" t="s">
        <v>64</v>
      </c>
      <c r="T4" s="1">
        <v>0.05</v>
      </c>
    </row>
    <row r="5" spans="2:22" ht="15.75">
      <c r="B5" s="2"/>
      <c r="C5" s="2"/>
      <c r="D5" s="2"/>
      <c r="E5" s="2" t="s">
        <v>12</v>
      </c>
      <c r="F5" s="4">
        <f>H5/100</f>
        <v>0.83</v>
      </c>
      <c r="G5" s="2" t="s">
        <v>5</v>
      </c>
      <c r="H5" s="5">
        <v>83</v>
      </c>
      <c r="I5" s="2"/>
      <c r="J5" s="2" t="s">
        <v>3</v>
      </c>
      <c r="K5" s="2"/>
      <c r="L5" s="2"/>
      <c r="M5" s="1" t="s">
        <v>18</v>
      </c>
      <c r="N5" s="1" t="s">
        <v>27</v>
      </c>
      <c r="O5" s="7">
        <v>2.5</v>
      </c>
      <c r="S5" s="1" t="s">
        <v>66</v>
      </c>
      <c r="T5" s="1">
        <v>0.1</v>
      </c>
      <c r="V5" s="6" t="s">
        <v>29</v>
      </c>
    </row>
    <row r="6" spans="2:22" ht="15.75">
      <c r="B6" s="2"/>
      <c r="C6" s="2"/>
      <c r="D6" s="2"/>
      <c r="E6" s="2" t="s">
        <v>31</v>
      </c>
      <c r="F6" s="11"/>
      <c r="G6" s="2"/>
      <c r="H6" s="5">
        <v>100</v>
      </c>
      <c r="I6" s="2"/>
      <c r="J6" s="2"/>
      <c r="K6" s="2"/>
      <c r="L6" s="2"/>
      <c r="N6" s="7" t="s">
        <v>10</v>
      </c>
      <c r="O6" s="7" t="s">
        <v>11</v>
      </c>
      <c r="S6" s="1" t="s">
        <v>67</v>
      </c>
      <c r="T6" s="1">
        <v>0.5</v>
      </c>
      <c r="V6" s="6" t="s">
        <v>48</v>
      </c>
    </row>
    <row r="7" spans="14:23" ht="15.75">
      <c r="N7" s="7">
        <f>-O5</f>
        <v>-2.5</v>
      </c>
      <c r="O7" s="7">
        <v>0</v>
      </c>
      <c r="S7" s="1" t="s">
        <v>68</v>
      </c>
      <c r="T7" s="1">
        <v>0.5</v>
      </c>
      <c r="V7" s="1" t="s">
        <v>36</v>
      </c>
      <c r="W7" s="7">
        <v>90</v>
      </c>
    </row>
    <row r="8" spans="12:24" ht="15.75">
      <c r="L8" s="1" t="s">
        <v>53</v>
      </c>
      <c r="N8" s="7">
        <f>O5</f>
        <v>2.5</v>
      </c>
      <c r="O8" s="7">
        <v>0</v>
      </c>
      <c r="T8" s="1" t="s">
        <v>10</v>
      </c>
      <c r="U8" s="1" t="s">
        <v>11</v>
      </c>
      <c r="V8" s="7" t="s">
        <v>37</v>
      </c>
      <c r="W8" s="7">
        <v>0</v>
      </c>
      <c r="X8" s="7"/>
    </row>
    <row r="9" spans="12:24" ht="15.75">
      <c r="L9" s="1" t="s">
        <v>54</v>
      </c>
      <c r="T9" s="7">
        <f>$T$2</f>
        <v>-0.05</v>
      </c>
      <c r="U9" s="12">
        <f>T3</f>
        <v>2.5</v>
      </c>
      <c r="V9" s="13" t="s">
        <v>38</v>
      </c>
      <c r="W9" s="14">
        <f>O17</f>
        <v>0.4789462899010746</v>
      </c>
      <c r="X9" s="14"/>
    </row>
    <row r="10" spans="12:24" ht="15.75">
      <c r="L10" s="1" t="s">
        <v>55</v>
      </c>
      <c r="T10" s="7">
        <f>$T$2</f>
        <v>-0.05</v>
      </c>
      <c r="U10" s="15">
        <f>$O$3-$T$4</f>
        <v>1.95</v>
      </c>
      <c r="V10" s="1" t="s">
        <v>35</v>
      </c>
      <c r="W10" s="16">
        <f>-(W8-W7)/W9</f>
        <v>187.9125110637966</v>
      </c>
      <c r="X10" s="17" t="s">
        <v>39</v>
      </c>
    </row>
    <row r="11" spans="12:24" ht="15.75">
      <c r="L11" s="1" t="s">
        <v>60</v>
      </c>
      <c r="T11" s="7">
        <f>$T$2+T5</f>
        <v>0.05</v>
      </c>
      <c r="U11" s="15">
        <f>U10</f>
        <v>1.95</v>
      </c>
      <c r="W11" s="14">
        <f>W10/180*PI()</f>
        <v>3.279692023753523</v>
      </c>
      <c r="X11" s="12" t="s">
        <v>40</v>
      </c>
    </row>
    <row r="12" spans="12:23" ht="15.75">
      <c r="L12" s="18" t="s">
        <v>61</v>
      </c>
      <c r="T12" s="7">
        <f>$T$2</f>
        <v>-0.05</v>
      </c>
      <c r="U12" s="15">
        <f>U10</f>
        <v>1.95</v>
      </c>
      <c r="V12" s="1" t="s">
        <v>42</v>
      </c>
      <c r="W12" s="14">
        <f>MAX(P24:P125)</f>
        <v>1.9086422570365995</v>
      </c>
    </row>
    <row r="13" spans="12:23" ht="15.75">
      <c r="L13" s="1" t="s">
        <v>62</v>
      </c>
      <c r="T13" s="7">
        <f>$T$2</f>
        <v>-0.05</v>
      </c>
      <c r="U13" s="12">
        <v>0</v>
      </c>
      <c r="V13" s="1" t="s">
        <v>41</v>
      </c>
      <c r="W13" s="14">
        <f>IF(W12&lt;O16,0,W12-O16)</f>
        <v>1.0736422570365995</v>
      </c>
    </row>
    <row r="14" spans="14:24" ht="15.75">
      <c r="N14" s="6" t="s">
        <v>13</v>
      </c>
      <c r="T14" s="7">
        <f>$T$2-$T$6</f>
        <v>-0.55</v>
      </c>
      <c r="U14" s="12">
        <v>0</v>
      </c>
      <c r="V14" s="1" t="s">
        <v>43</v>
      </c>
      <c r="W14" s="16">
        <f>90-W10*W13</f>
        <v>-111.75081250394956</v>
      </c>
      <c r="X14" s="1" t="s">
        <v>7</v>
      </c>
    </row>
    <row r="15" spans="14:24" ht="15.75">
      <c r="N15" s="1" t="s">
        <v>33</v>
      </c>
      <c r="O15" s="8">
        <v>2</v>
      </c>
      <c r="T15" s="7">
        <f>$T$2+$T$7</f>
        <v>0.45</v>
      </c>
      <c r="U15" s="12">
        <v>0</v>
      </c>
      <c r="W15" s="14">
        <f>W14/180*PI()</f>
        <v>-1.9504196199727686</v>
      </c>
      <c r="X15" s="1" t="s">
        <v>44</v>
      </c>
    </row>
    <row r="16" spans="14:22" ht="15.75">
      <c r="N16" s="1" t="s">
        <v>32</v>
      </c>
      <c r="O16" s="22">
        <f>(2.5-F5)/O15</f>
        <v>0.835</v>
      </c>
      <c r="S16" s="6" t="s">
        <v>19</v>
      </c>
      <c r="T16" s="7"/>
      <c r="V16" s="6" t="s">
        <v>49</v>
      </c>
    </row>
    <row r="17" spans="14:23" ht="15.75">
      <c r="N17" s="1" t="s">
        <v>21</v>
      </c>
      <c r="O17" s="1">
        <f>F3*SIN(F4/180*PI())/9.81</f>
        <v>0.4789462899010746</v>
      </c>
      <c r="S17" s="1" t="s">
        <v>20</v>
      </c>
      <c r="T17" s="8">
        <f>K3</f>
        <v>0.5</v>
      </c>
      <c r="V17" s="1" t="s">
        <v>36</v>
      </c>
      <c r="W17" s="7">
        <v>0</v>
      </c>
    </row>
    <row r="18" spans="19:24" ht="15.75">
      <c r="S18" s="1" t="s">
        <v>28</v>
      </c>
      <c r="T18" s="7">
        <v>50</v>
      </c>
      <c r="V18" s="7" t="s">
        <v>37</v>
      </c>
      <c r="W18" s="7">
        <v>180</v>
      </c>
      <c r="X18" s="7"/>
    </row>
    <row r="19" spans="14:24" ht="15.75">
      <c r="N19" s="1" t="s">
        <v>23</v>
      </c>
      <c r="O19" s="1">
        <f>F2+F3*SIN(F4/180*PI())*O17-0.5*9.81*O17^2</f>
        <v>2.1251557359320703</v>
      </c>
      <c r="S19" s="1" t="s">
        <v>26</v>
      </c>
      <c r="T19" s="7">
        <f>T17/T18</f>
        <v>0.01</v>
      </c>
      <c r="V19" s="13" t="s">
        <v>38</v>
      </c>
      <c r="W19" s="14">
        <f>O20</f>
        <v>0.5756095445651589</v>
      </c>
      <c r="X19" s="14"/>
    </row>
    <row r="20" spans="14:24" ht="15.75">
      <c r="N20" s="1" t="s">
        <v>22</v>
      </c>
      <c r="O20" s="1">
        <f>SQRT(2*(O19-T17)/9.81)</f>
        <v>0.5756095445651589</v>
      </c>
      <c r="S20" s="1" t="s">
        <v>14</v>
      </c>
      <c r="T20" s="7" t="s">
        <v>10</v>
      </c>
      <c r="U20" s="7" t="s">
        <v>11</v>
      </c>
      <c r="V20" s="1" t="s">
        <v>50</v>
      </c>
      <c r="W20" s="16">
        <f>-(W18-W17)/W19</f>
        <v>-312.7119793261594</v>
      </c>
      <c r="X20" s="17" t="s">
        <v>39</v>
      </c>
    </row>
    <row r="21" spans="14:24" ht="15.75">
      <c r="N21" s="1" t="s">
        <v>24</v>
      </c>
      <c r="O21" s="1">
        <f>O16+O17+O20</f>
        <v>1.8895558344662335</v>
      </c>
      <c r="S21" s="7">
        <v>0</v>
      </c>
      <c r="T21" s="7">
        <v>0</v>
      </c>
      <c r="U21" s="7">
        <f aca="true" t="shared" si="0" ref="U21:U52">S21*$T$19</f>
        <v>0</v>
      </c>
      <c r="W21" s="14">
        <f>W20/180*PI()</f>
        <v>-5.457853649669921</v>
      </c>
      <c r="X21" s="12" t="s">
        <v>40</v>
      </c>
    </row>
    <row r="22" spans="14:23" ht="15.75">
      <c r="N22" s="1" t="s">
        <v>16</v>
      </c>
      <c r="O22" s="1">
        <f>O21/99</f>
        <v>0.019086422570365996</v>
      </c>
      <c r="S22" s="7">
        <v>0</v>
      </c>
      <c r="T22" s="7">
        <f>$O$5</f>
        <v>2.5</v>
      </c>
      <c r="U22" s="7">
        <f t="shared" si="0"/>
        <v>0</v>
      </c>
      <c r="V22" s="1" t="s">
        <v>42</v>
      </c>
      <c r="W22" s="14">
        <f>MAX(P34:P135)</f>
        <v>1.9086422570365995</v>
      </c>
    </row>
    <row r="23" spans="14:27" ht="17.25">
      <c r="N23" s="22" t="s">
        <v>14</v>
      </c>
      <c r="O23" s="22" t="s">
        <v>34</v>
      </c>
      <c r="P23" s="22" t="s">
        <v>15</v>
      </c>
      <c r="Q23" s="22" t="s">
        <v>10</v>
      </c>
      <c r="R23" s="22" t="s">
        <v>11</v>
      </c>
      <c r="S23" s="7">
        <f aca="true" t="shared" si="1" ref="S23:S54">S21+1</f>
        <v>1</v>
      </c>
      <c r="T23" s="7">
        <f aca="true" t="shared" si="2" ref="T23:T54">T21</f>
        <v>0</v>
      </c>
      <c r="U23" s="7">
        <f t="shared" si="0"/>
        <v>0.01</v>
      </c>
      <c r="V23" s="1" t="s">
        <v>41</v>
      </c>
      <c r="W23" s="14">
        <f>W22-O16-O17</f>
        <v>0.594695967135525</v>
      </c>
      <c r="Y23" s="7" t="s">
        <v>56</v>
      </c>
      <c r="Z23" s="7" t="s">
        <v>57</v>
      </c>
      <c r="AA23" s="1" t="s">
        <v>58</v>
      </c>
    </row>
    <row r="24" spans="14:27" ht="15.75">
      <c r="N24" s="7">
        <v>0</v>
      </c>
      <c r="O24" s="16">
        <f aca="true" t="shared" si="3" ref="O24:O55">MIN(N24,$H$6)</f>
        <v>0</v>
      </c>
      <c r="P24" s="14">
        <f aca="true" t="shared" si="4" ref="P24:P55">O24*$O$22</f>
        <v>0</v>
      </c>
      <c r="Q24" s="14">
        <f aca="true" t="shared" si="5" ref="Q24:Q55">IF(P24&lt;$O$16,-$O$5+$O$15*P24,-$F$5+$F$3*COS($F$4/180*PI())*(P24-$O$16))</f>
        <v>-2.5</v>
      </c>
      <c r="R24" s="8">
        <f aca="true" t="shared" si="6" ref="R24:R55">IF(P24&lt;$O$16,$F$2,$F$2+$F$3*SIN($F$4/180*PI())*(P24-$O$16)-0.5*9.81*(P24-$O$16)^2)</f>
        <v>1</v>
      </c>
      <c r="S24" s="7">
        <f t="shared" si="1"/>
        <v>1</v>
      </c>
      <c r="T24" s="7">
        <f t="shared" si="2"/>
        <v>2.5</v>
      </c>
      <c r="U24" s="7">
        <f t="shared" si="0"/>
        <v>0.01</v>
      </c>
      <c r="V24" s="1" t="s">
        <v>43</v>
      </c>
      <c r="W24" s="16">
        <f>W20*W23</f>
        <v>-185.96855298023465</v>
      </c>
      <c r="X24" s="1" t="s">
        <v>7</v>
      </c>
      <c r="Y24" s="8">
        <f aca="true" t="shared" si="7" ref="Y24:Y55">$C$3*9.81*R24</f>
        <v>784.8000000000001</v>
      </c>
      <c r="Z24" s="8">
        <f aca="true" t="shared" si="8" ref="Z24:Z55">0.5*$C$3*$F$3^2+$C$3*9.81*$W$29</f>
        <v>1784.8000000000002</v>
      </c>
      <c r="AA24" s="8">
        <f aca="true" t="shared" si="9" ref="AA24:AA55">IF(P24&lt;$O$16,0.5*$C$3*$O$15^2,Z24-Y24)</f>
        <v>160</v>
      </c>
    </row>
    <row r="25" spans="14:27" ht="15.75">
      <c r="N25" s="16">
        <v>1</v>
      </c>
      <c r="O25" s="16">
        <f t="shared" si="3"/>
        <v>1</v>
      </c>
      <c r="P25" s="14">
        <f t="shared" si="4"/>
        <v>0.019086422570365996</v>
      </c>
      <c r="Q25" s="14">
        <f t="shared" si="5"/>
        <v>-2.461827154859268</v>
      </c>
      <c r="R25" s="8">
        <f t="shared" si="6"/>
        <v>1</v>
      </c>
      <c r="S25" s="7">
        <f t="shared" si="1"/>
        <v>2</v>
      </c>
      <c r="T25" s="7">
        <f t="shared" si="2"/>
        <v>0</v>
      </c>
      <c r="U25" s="7">
        <f t="shared" si="0"/>
        <v>0.02</v>
      </c>
      <c r="W25" s="14">
        <f>W24/180*PI()</f>
        <v>-3.2457635546746078</v>
      </c>
      <c r="X25" s="1" t="s">
        <v>44</v>
      </c>
      <c r="Y25" s="8">
        <f t="shared" si="7"/>
        <v>784.8000000000001</v>
      </c>
      <c r="Z25" s="8">
        <f t="shared" si="8"/>
        <v>1784.8000000000002</v>
      </c>
      <c r="AA25" s="8">
        <f t="shared" si="9"/>
        <v>160</v>
      </c>
    </row>
    <row r="26" spans="14:27" ht="15.75">
      <c r="N26" s="16">
        <v>2</v>
      </c>
      <c r="O26" s="16">
        <f t="shared" si="3"/>
        <v>2</v>
      </c>
      <c r="P26" s="14">
        <f t="shared" si="4"/>
        <v>0.03817284514073199</v>
      </c>
      <c r="Q26" s="14">
        <f t="shared" si="5"/>
        <v>-2.423654309718536</v>
      </c>
      <c r="R26" s="8">
        <f t="shared" si="6"/>
        <v>1</v>
      </c>
      <c r="S26" s="7">
        <f t="shared" si="1"/>
        <v>2</v>
      </c>
      <c r="T26" s="7">
        <f t="shared" si="2"/>
        <v>2.5</v>
      </c>
      <c r="U26" s="7">
        <f t="shared" si="0"/>
        <v>0.02</v>
      </c>
      <c r="Y26" s="8">
        <f t="shared" si="7"/>
        <v>784.8000000000001</v>
      </c>
      <c r="Z26" s="8">
        <f t="shared" si="8"/>
        <v>1784.8000000000002</v>
      </c>
      <c r="AA26" s="8">
        <f t="shared" si="9"/>
        <v>160</v>
      </c>
    </row>
    <row r="27" spans="14:27" ht="15.75">
      <c r="N27" s="16">
        <v>3</v>
      </c>
      <c r="O27" s="16">
        <f t="shared" si="3"/>
        <v>3</v>
      </c>
      <c r="P27" s="14">
        <f t="shared" si="4"/>
        <v>0.05725926771109799</v>
      </c>
      <c r="Q27" s="14">
        <f t="shared" si="5"/>
        <v>-2.385481464577804</v>
      </c>
      <c r="R27" s="8">
        <f t="shared" si="6"/>
        <v>1</v>
      </c>
      <c r="S27" s="7">
        <f t="shared" si="1"/>
        <v>3</v>
      </c>
      <c r="T27" s="7">
        <f t="shared" si="2"/>
        <v>0</v>
      </c>
      <c r="U27" s="7">
        <f t="shared" si="0"/>
        <v>0.03</v>
      </c>
      <c r="V27" s="1" t="s">
        <v>51</v>
      </c>
      <c r="W27" s="24">
        <f>W15</f>
        <v>-1.9504196199727686</v>
      </c>
      <c r="Y27" s="8">
        <f t="shared" si="7"/>
        <v>784.8000000000001</v>
      </c>
      <c r="Z27" s="8">
        <f t="shared" si="8"/>
        <v>1784.8000000000002</v>
      </c>
      <c r="AA27" s="8">
        <f t="shared" si="9"/>
        <v>160</v>
      </c>
    </row>
    <row r="28" spans="14:27" ht="15.75">
      <c r="N28" s="16">
        <v>3</v>
      </c>
      <c r="O28" s="16">
        <f t="shared" si="3"/>
        <v>3</v>
      </c>
      <c r="P28" s="14">
        <f t="shared" si="4"/>
        <v>0.05725926771109799</v>
      </c>
      <c r="Q28" s="14">
        <f t="shared" si="5"/>
        <v>-2.385481464577804</v>
      </c>
      <c r="R28" s="8">
        <f t="shared" si="6"/>
        <v>1</v>
      </c>
      <c r="S28" s="7">
        <f t="shared" si="1"/>
        <v>3</v>
      </c>
      <c r="T28" s="7">
        <f t="shared" si="2"/>
        <v>2.5</v>
      </c>
      <c r="U28" s="7">
        <f t="shared" si="0"/>
        <v>0.03</v>
      </c>
      <c r="V28" s="1" t="s">
        <v>52</v>
      </c>
      <c r="W28" s="24">
        <f>W25</f>
        <v>-3.2457635546746078</v>
      </c>
      <c r="Y28" s="8">
        <f t="shared" si="7"/>
        <v>784.8000000000001</v>
      </c>
      <c r="Z28" s="8">
        <f t="shared" si="8"/>
        <v>1784.8000000000002</v>
      </c>
      <c r="AA28" s="8">
        <f t="shared" si="9"/>
        <v>160</v>
      </c>
    </row>
    <row r="29" spans="14:27" ht="15.75">
      <c r="N29" s="16">
        <v>4</v>
      </c>
      <c r="O29" s="16">
        <f t="shared" si="3"/>
        <v>4</v>
      </c>
      <c r="P29" s="14">
        <f t="shared" si="4"/>
        <v>0.07634569028146398</v>
      </c>
      <c r="Q29" s="14">
        <f t="shared" si="5"/>
        <v>-2.3473086194370723</v>
      </c>
      <c r="R29" s="8">
        <f t="shared" si="6"/>
        <v>1</v>
      </c>
      <c r="S29" s="7">
        <f t="shared" si="1"/>
        <v>4</v>
      </c>
      <c r="T29" s="7">
        <f t="shared" si="2"/>
        <v>0</v>
      </c>
      <c r="U29" s="7">
        <f t="shared" si="0"/>
        <v>0.04</v>
      </c>
      <c r="V29" s="21" t="s">
        <v>17</v>
      </c>
      <c r="W29" s="14">
        <f>F2</f>
        <v>1</v>
      </c>
      <c r="Y29" s="8">
        <f t="shared" si="7"/>
        <v>784.8000000000001</v>
      </c>
      <c r="Z29" s="8">
        <f t="shared" si="8"/>
        <v>1784.8000000000002</v>
      </c>
      <c r="AA29" s="8">
        <f t="shared" si="9"/>
        <v>160</v>
      </c>
    </row>
    <row r="30" spans="14:27" ht="15.75">
      <c r="N30" s="16">
        <v>5</v>
      </c>
      <c r="O30" s="16">
        <f t="shared" si="3"/>
        <v>5</v>
      </c>
      <c r="P30" s="14">
        <f t="shared" si="4"/>
        <v>0.09543211285182998</v>
      </c>
      <c r="Q30" s="14">
        <f t="shared" si="5"/>
        <v>-2.30913577429634</v>
      </c>
      <c r="R30" s="8">
        <f t="shared" si="6"/>
        <v>1</v>
      </c>
      <c r="S30" s="7">
        <f t="shared" si="1"/>
        <v>4</v>
      </c>
      <c r="T30" s="7">
        <f t="shared" si="2"/>
        <v>2.5</v>
      </c>
      <c r="U30" s="7">
        <f t="shared" si="0"/>
        <v>0.04</v>
      </c>
      <c r="V30" s="21" t="s">
        <v>30</v>
      </c>
      <c r="W30" s="7">
        <v>1.9</v>
      </c>
      <c r="Y30" s="8">
        <f t="shared" si="7"/>
        <v>784.8000000000001</v>
      </c>
      <c r="Z30" s="8">
        <f t="shared" si="8"/>
        <v>1784.8000000000002</v>
      </c>
      <c r="AA30" s="8">
        <f t="shared" si="9"/>
        <v>160</v>
      </c>
    </row>
    <row r="31" spans="14:27" ht="15.75">
      <c r="N31" s="16">
        <v>6</v>
      </c>
      <c r="O31" s="16">
        <f t="shared" si="3"/>
        <v>6</v>
      </c>
      <c r="P31" s="14">
        <f t="shared" si="4"/>
        <v>0.11451853542219598</v>
      </c>
      <c r="Q31" s="14">
        <f t="shared" si="5"/>
        <v>-2.270962929155608</v>
      </c>
      <c r="R31" s="8">
        <f t="shared" si="6"/>
        <v>1</v>
      </c>
      <c r="S31" s="7">
        <f t="shared" si="1"/>
        <v>5</v>
      </c>
      <c r="T31" s="7">
        <f t="shared" si="2"/>
        <v>0</v>
      </c>
      <c r="U31" s="7">
        <f t="shared" si="0"/>
        <v>0.05</v>
      </c>
      <c r="W31" s="7" t="s">
        <v>10</v>
      </c>
      <c r="X31" s="7" t="s">
        <v>11</v>
      </c>
      <c r="Y31" s="8">
        <f t="shared" si="7"/>
        <v>784.8000000000001</v>
      </c>
      <c r="Z31" s="8">
        <f t="shared" si="8"/>
        <v>1784.8000000000002</v>
      </c>
      <c r="AA31" s="8">
        <f t="shared" si="9"/>
        <v>160</v>
      </c>
    </row>
    <row r="32" spans="14:27" ht="15.75">
      <c r="N32" s="16">
        <v>7</v>
      </c>
      <c r="O32" s="16">
        <f t="shared" si="3"/>
        <v>7</v>
      </c>
      <c r="P32" s="14">
        <f t="shared" si="4"/>
        <v>0.13360495799256197</v>
      </c>
      <c r="Q32" s="14">
        <f t="shared" si="5"/>
        <v>-2.232790084014876</v>
      </c>
      <c r="R32" s="8">
        <f t="shared" si="6"/>
        <v>1</v>
      </c>
      <c r="S32" s="7">
        <f t="shared" si="1"/>
        <v>5</v>
      </c>
      <c r="T32" s="7">
        <f t="shared" si="2"/>
        <v>2.5</v>
      </c>
      <c r="U32" s="7">
        <f t="shared" si="0"/>
        <v>0.05</v>
      </c>
      <c r="V32" s="21" t="s">
        <v>45</v>
      </c>
      <c r="W32" s="14">
        <f>IF(W23&lt;0,$W$33-$W$29*COS(W27),$W$33-$W$29*COS(W28))</f>
        <v>2.0006155095997173</v>
      </c>
      <c r="X32" s="14">
        <f>IF(W23&lt;0,$X$33-$W$29*SIN($W$27),IF($X$33-$W$29*SIN($W$28)&lt;$T$17,$T$17,$X$33-$W$29*SIN($W$28)))</f>
        <v>0.5</v>
      </c>
      <c r="Y32" s="8">
        <f t="shared" si="7"/>
        <v>784.8000000000001</v>
      </c>
      <c r="Z32" s="8">
        <f t="shared" si="8"/>
        <v>1784.8000000000002</v>
      </c>
      <c r="AA32" s="8">
        <f t="shared" si="9"/>
        <v>160</v>
      </c>
    </row>
    <row r="33" spans="14:27" ht="15.75">
      <c r="N33" s="16">
        <v>8</v>
      </c>
      <c r="O33" s="16">
        <f t="shared" si="3"/>
        <v>8</v>
      </c>
      <c r="P33" s="14">
        <f t="shared" si="4"/>
        <v>0.15269138056292797</v>
      </c>
      <c r="Q33" s="14">
        <f t="shared" si="5"/>
        <v>-2.194617238874144</v>
      </c>
      <c r="R33" s="8">
        <f t="shared" si="6"/>
        <v>1</v>
      </c>
      <c r="S33" s="7">
        <f t="shared" si="1"/>
        <v>6</v>
      </c>
      <c r="T33" s="7">
        <f t="shared" si="2"/>
        <v>0</v>
      </c>
      <c r="U33" s="7">
        <f t="shared" si="0"/>
        <v>0.06</v>
      </c>
      <c r="V33" s="21" t="s">
        <v>46</v>
      </c>
      <c r="W33" s="14">
        <f>MAX(Q24:Q125)</f>
        <v>1.0060363931607617</v>
      </c>
      <c r="X33" s="14">
        <f>VLOOKUP(W33,Q24:R125,2,FALSE)</f>
        <v>0.3904372821618738</v>
      </c>
      <c r="Y33" s="8">
        <f t="shared" si="7"/>
        <v>784.8000000000001</v>
      </c>
      <c r="Z33" s="8">
        <f t="shared" si="8"/>
        <v>1784.8000000000002</v>
      </c>
      <c r="AA33" s="8">
        <f t="shared" si="9"/>
        <v>160</v>
      </c>
    </row>
    <row r="34" spans="14:27" ht="15.75">
      <c r="N34" s="16">
        <v>9</v>
      </c>
      <c r="O34" s="16">
        <f t="shared" si="3"/>
        <v>9</v>
      </c>
      <c r="P34" s="14">
        <f t="shared" si="4"/>
        <v>0.17177780313329397</v>
      </c>
      <c r="Q34" s="14">
        <f t="shared" si="5"/>
        <v>-2.156444393733412</v>
      </c>
      <c r="R34" s="8">
        <f t="shared" si="6"/>
        <v>1</v>
      </c>
      <c r="S34" s="7">
        <f t="shared" si="1"/>
        <v>6</v>
      </c>
      <c r="T34" s="7">
        <f t="shared" si="2"/>
        <v>2.5</v>
      </c>
      <c r="U34" s="7">
        <f t="shared" si="0"/>
        <v>0.06</v>
      </c>
      <c r="V34" s="21" t="s">
        <v>47</v>
      </c>
      <c r="W34" s="14">
        <f>IF(W23&lt;0,$W$33+($W$30-$W$29)*COS($W$27),$W$33+($W$30-$W$29)*COS($W$28))</f>
        <v>0.11091518836570158</v>
      </c>
      <c r="X34" s="14">
        <f>IF(W23&lt;0,$X$33+($W$30-$W$29)*SIN($W$27),IF($X$33+($W$30-$W$29)*SIN($W$28)&lt;$T$17,$T$17,$X$33+($W$30-$W$29)*SIN($W$28)))</f>
        <v>0.5</v>
      </c>
      <c r="Y34" s="8">
        <f t="shared" si="7"/>
        <v>784.8000000000001</v>
      </c>
      <c r="Z34" s="8">
        <f t="shared" si="8"/>
        <v>1784.8000000000002</v>
      </c>
      <c r="AA34" s="8">
        <f t="shared" si="9"/>
        <v>160</v>
      </c>
    </row>
    <row r="35" spans="14:27" ht="15.75">
      <c r="N35" s="16">
        <v>10</v>
      </c>
      <c r="O35" s="16">
        <f t="shared" si="3"/>
        <v>10</v>
      </c>
      <c r="P35" s="14">
        <f t="shared" si="4"/>
        <v>0.19086422570365996</v>
      </c>
      <c r="Q35" s="14">
        <f t="shared" si="5"/>
        <v>-2.11827154859268</v>
      </c>
      <c r="R35" s="8">
        <f t="shared" si="6"/>
        <v>1</v>
      </c>
      <c r="S35" s="7">
        <f t="shared" si="1"/>
        <v>7</v>
      </c>
      <c r="T35" s="7">
        <f t="shared" si="2"/>
        <v>0</v>
      </c>
      <c r="U35" s="7">
        <f t="shared" si="0"/>
        <v>0.07</v>
      </c>
      <c r="Y35" s="8">
        <f t="shared" si="7"/>
        <v>784.8000000000001</v>
      </c>
      <c r="Z35" s="8">
        <f t="shared" si="8"/>
        <v>1784.8000000000002</v>
      </c>
      <c r="AA35" s="8">
        <f t="shared" si="9"/>
        <v>160</v>
      </c>
    </row>
    <row r="36" spans="14:27" ht="15.75">
      <c r="N36" s="16">
        <v>11</v>
      </c>
      <c r="O36" s="16">
        <f t="shared" si="3"/>
        <v>11</v>
      </c>
      <c r="P36" s="14">
        <f t="shared" si="4"/>
        <v>0.20995064827402596</v>
      </c>
      <c r="Q36" s="14">
        <f t="shared" si="5"/>
        <v>-2.0800987034519482</v>
      </c>
      <c r="R36" s="8">
        <f t="shared" si="6"/>
        <v>1</v>
      </c>
      <c r="S36" s="7">
        <f t="shared" si="1"/>
        <v>7</v>
      </c>
      <c r="T36" s="7">
        <f t="shared" si="2"/>
        <v>2.5</v>
      </c>
      <c r="U36" s="7">
        <f t="shared" si="0"/>
        <v>0.07</v>
      </c>
      <c r="Y36" s="8">
        <f t="shared" si="7"/>
        <v>784.8000000000001</v>
      </c>
      <c r="Z36" s="8">
        <f t="shared" si="8"/>
        <v>1784.8000000000002</v>
      </c>
      <c r="AA36" s="8">
        <f t="shared" si="9"/>
        <v>160</v>
      </c>
    </row>
    <row r="37" spans="14:27" ht="15.75">
      <c r="N37" s="16">
        <v>12</v>
      </c>
      <c r="O37" s="16">
        <f t="shared" si="3"/>
        <v>12</v>
      </c>
      <c r="P37" s="14">
        <f t="shared" si="4"/>
        <v>0.22903707084439195</v>
      </c>
      <c r="Q37" s="14">
        <f t="shared" si="5"/>
        <v>-2.041925858311216</v>
      </c>
      <c r="R37" s="8">
        <f t="shared" si="6"/>
        <v>1</v>
      </c>
      <c r="S37" s="7">
        <f t="shared" si="1"/>
        <v>8</v>
      </c>
      <c r="T37" s="7">
        <f t="shared" si="2"/>
        <v>0</v>
      </c>
      <c r="U37" s="7">
        <f t="shared" si="0"/>
        <v>0.08</v>
      </c>
      <c r="Y37" s="8">
        <f t="shared" si="7"/>
        <v>784.8000000000001</v>
      </c>
      <c r="Z37" s="8">
        <f t="shared" si="8"/>
        <v>1784.8000000000002</v>
      </c>
      <c r="AA37" s="8">
        <f t="shared" si="9"/>
        <v>160</v>
      </c>
    </row>
    <row r="38" spans="14:27" ht="15.75">
      <c r="N38" s="16">
        <v>13</v>
      </c>
      <c r="O38" s="16">
        <f t="shared" si="3"/>
        <v>13</v>
      </c>
      <c r="P38" s="14">
        <f t="shared" si="4"/>
        <v>0.24812349341475795</v>
      </c>
      <c r="Q38" s="14">
        <f t="shared" si="5"/>
        <v>-2.003753013170484</v>
      </c>
      <c r="R38" s="8">
        <f t="shared" si="6"/>
        <v>1</v>
      </c>
      <c r="S38" s="7">
        <f t="shared" si="1"/>
        <v>8</v>
      </c>
      <c r="T38" s="7">
        <f t="shared" si="2"/>
        <v>2.5</v>
      </c>
      <c r="U38" s="7">
        <f t="shared" si="0"/>
        <v>0.08</v>
      </c>
      <c r="Y38" s="8">
        <f t="shared" si="7"/>
        <v>784.8000000000001</v>
      </c>
      <c r="Z38" s="8">
        <f t="shared" si="8"/>
        <v>1784.8000000000002</v>
      </c>
      <c r="AA38" s="8">
        <f t="shared" si="9"/>
        <v>160</v>
      </c>
    </row>
    <row r="39" spans="14:27" ht="15.75">
      <c r="N39" s="16">
        <v>14</v>
      </c>
      <c r="O39" s="16">
        <f t="shared" si="3"/>
        <v>14</v>
      </c>
      <c r="P39" s="14">
        <f t="shared" si="4"/>
        <v>0.26720991598512395</v>
      </c>
      <c r="Q39" s="14">
        <f t="shared" si="5"/>
        <v>-1.965580168029752</v>
      </c>
      <c r="R39" s="8">
        <f t="shared" si="6"/>
        <v>1</v>
      </c>
      <c r="S39" s="7">
        <f t="shared" si="1"/>
        <v>9</v>
      </c>
      <c r="T39" s="7">
        <f t="shared" si="2"/>
        <v>0</v>
      </c>
      <c r="U39" s="7">
        <f t="shared" si="0"/>
        <v>0.09</v>
      </c>
      <c r="Y39" s="8">
        <f t="shared" si="7"/>
        <v>784.8000000000001</v>
      </c>
      <c r="Z39" s="8">
        <f t="shared" si="8"/>
        <v>1784.8000000000002</v>
      </c>
      <c r="AA39" s="8">
        <f t="shared" si="9"/>
        <v>160</v>
      </c>
    </row>
    <row r="40" spans="14:27" ht="15.75">
      <c r="N40" s="16">
        <v>15</v>
      </c>
      <c r="O40" s="16">
        <f t="shared" si="3"/>
        <v>15</v>
      </c>
      <c r="P40" s="14">
        <f t="shared" si="4"/>
        <v>0.28629633855548997</v>
      </c>
      <c r="Q40" s="14">
        <f t="shared" si="5"/>
        <v>-1.92740732288902</v>
      </c>
      <c r="R40" s="8">
        <f t="shared" si="6"/>
        <v>1</v>
      </c>
      <c r="S40" s="7">
        <f t="shared" si="1"/>
        <v>9</v>
      </c>
      <c r="T40" s="7">
        <f t="shared" si="2"/>
        <v>2.5</v>
      </c>
      <c r="U40" s="7">
        <f t="shared" si="0"/>
        <v>0.09</v>
      </c>
      <c r="Y40" s="8">
        <f t="shared" si="7"/>
        <v>784.8000000000001</v>
      </c>
      <c r="Z40" s="8">
        <f t="shared" si="8"/>
        <v>1784.8000000000002</v>
      </c>
      <c r="AA40" s="8">
        <f t="shared" si="9"/>
        <v>160</v>
      </c>
    </row>
    <row r="41" spans="14:27" ht="15.75">
      <c r="N41" s="16">
        <v>16</v>
      </c>
      <c r="O41" s="16">
        <f t="shared" si="3"/>
        <v>16</v>
      </c>
      <c r="P41" s="14">
        <f t="shared" si="4"/>
        <v>0.30538276112585594</v>
      </c>
      <c r="Q41" s="14">
        <f t="shared" si="5"/>
        <v>-1.8892344777482881</v>
      </c>
      <c r="R41" s="8">
        <f t="shared" si="6"/>
        <v>1</v>
      </c>
      <c r="S41" s="7">
        <f t="shared" si="1"/>
        <v>10</v>
      </c>
      <c r="T41" s="7">
        <f t="shared" si="2"/>
        <v>0</v>
      </c>
      <c r="U41" s="7">
        <f t="shared" si="0"/>
        <v>0.1</v>
      </c>
      <c r="Y41" s="8">
        <f t="shared" si="7"/>
        <v>784.8000000000001</v>
      </c>
      <c r="Z41" s="8">
        <f t="shared" si="8"/>
        <v>1784.8000000000002</v>
      </c>
      <c r="AA41" s="8">
        <f t="shared" si="9"/>
        <v>160</v>
      </c>
    </row>
    <row r="42" spans="14:27" ht="15.75">
      <c r="N42" s="16">
        <v>17</v>
      </c>
      <c r="O42" s="16">
        <f t="shared" si="3"/>
        <v>17</v>
      </c>
      <c r="P42" s="14">
        <f t="shared" si="4"/>
        <v>0.3244691836962219</v>
      </c>
      <c r="Q42" s="14">
        <f t="shared" si="5"/>
        <v>-1.8510616326075562</v>
      </c>
      <c r="R42" s="8">
        <f t="shared" si="6"/>
        <v>1</v>
      </c>
      <c r="S42" s="7">
        <f t="shared" si="1"/>
        <v>10</v>
      </c>
      <c r="T42" s="7">
        <f t="shared" si="2"/>
        <v>2.5</v>
      </c>
      <c r="U42" s="7">
        <f t="shared" si="0"/>
        <v>0.1</v>
      </c>
      <c r="Y42" s="8">
        <f t="shared" si="7"/>
        <v>784.8000000000001</v>
      </c>
      <c r="Z42" s="8">
        <f t="shared" si="8"/>
        <v>1784.8000000000002</v>
      </c>
      <c r="AA42" s="8">
        <f t="shared" si="9"/>
        <v>160</v>
      </c>
    </row>
    <row r="43" spans="14:27" ht="15.75">
      <c r="N43" s="16">
        <v>18</v>
      </c>
      <c r="O43" s="16">
        <f t="shared" si="3"/>
        <v>18</v>
      </c>
      <c r="P43" s="14">
        <f t="shared" si="4"/>
        <v>0.34355560626658793</v>
      </c>
      <c r="Q43" s="14">
        <f t="shared" si="5"/>
        <v>-1.8128887874668242</v>
      </c>
      <c r="R43" s="8">
        <f t="shared" si="6"/>
        <v>1</v>
      </c>
      <c r="S43" s="7">
        <f t="shared" si="1"/>
        <v>11</v>
      </c>
      <c r="T43" s="7">
        <f t="shared" si="2"/>
        <v>0</v>
      </c>
      <c r="U43" s="7">
        <f t="shared" si="0"/>
        <v>0.11</v>
      </c>
      <c r="Y43" s="8">
        <f t="shared" si="7"/>
        <v>784.8000000000001</v>
      </c>
      <c r="Z43" s="8">
        <f t="shared" si="8"/>
        <v>1784.8000000000002</v>
      </c>
      <c r="AA43" s="8">
        <f t="shared" si="9"/>
        <v>160</v>
      </c>
    </row>
    <row r="44" spans="14:27" ht="15.75">
      <c r="N44" s="16">
        <v>19</v>
      </c>
      <c r="O44" s="16">
        <f t="shared" si="3"/>
        <v>19</v>
      </c>
      <c r="P44" s="14">
        <f t="shared" si="4"/>
        <v>0.36264202883695396</v>
      </c>
      <c r="Q44" s="14">
        <f t="shared" si="5"/>
        <v>-1.774715942326092</v>
      </c>
      <c r="R44" s="8">
        <f t="shared" si="6"/>
        <v>1</v>
      </c>
      <c r="S44" s="7">
        <f t="shared" si="1"/>
        <v>11</v>
      </c>
      <c r="T44" s="7">
        <f t="shared" si="2"/>
        <v>2.5</v>
      </c>
      <c r="U44" s="7">
        <f t="shared" si="0"/>
        <v>0.11</v>
      </c>
      <c r="Y44" s="8">
        <f t="shared" si="7"/>
        <v>784.8000000000001</v>
      </c>
      <c r="Z44" s="8">
        <f t="shared" si="8"/>
        <v>1784.8000000000002</v>
      </c>
      <c r="AA44" s="8">
        <f t="shared" si="9"/>
        <v>160</v>
      </c>
    </row>
    <row r="45" spans="14:27" ht="15.75">
      <c r="N45" s="16">
        <v>20</v>
      </c>
      <c r="O45" s="16">
        <f t="shared" si="3"/>
        <v>20</v>
      </c>
      <c r="P45" s="14">
        <f t="shared" si="4"/>
        <v>0.3817284514073199</v>
      </c>
      <c r="Q45" s="14">
        <f t="shared" si="5"/>
        <v>-1.7365430971853602</v>
      </c>
      <c r="R45" s="8">
        <f t="shared" si="6"/>
        <v>1</v>
      </c>
      <c r="S45" s="7">
        <f t="shared" si="1"/>
        <v>12</v>
      </c>
      <c r="T45" s="7">
        <f t="shared" si="2"/>
        <v>0</v>
      </c>
      <c r="U45" s="7">
        <f t="shared" si="0"/>
        <v>0.12</v>
      </c>
      <c r="Y45" s="8">
        <f t="shared" si="7"/>
        <v>784.8000000000001</v>
      </c>
      <c r="Z45" s="8">
        <f t="shared" si="8"/>
        <v>1784.8000000000002</v>
      </c>
      <c r="AA45" s="8">
        <f t="shared" si="9"/>
        <v>160</v>
      </c>
    </row>
    <row r="46" spans="14:27" ht="15.75">
      <c r="N46" s="16">
        <v>21</v>
      </c>
      <c r="O46" s="16">
        <f t="shared" si="3"/>
        <v>21</v>
      </c>
      <c r="P46" s="14">
        <f t="shared" si="4"/>
        <v>0.4008148739776859</v>
      </c>
      <c r="Q46" s="14">
        <f t="shared" si="5"/>
        <v>-1.6983702520446282</v>
      </c>
      <c r="R46" s="8">
        <f t="shared" si="6"/>
        <v>1</v>
      </c>
      <c r="S46" s="7">
        <f t="shared" si="1"/>
        <v>12</v>
      </c>
      <c r="T46" s="7">
        <f t="shared" si="2"/>
        <v>2.5</v>
      </c>
      <c r="U46" s="7">
        <f t="shared" si="0"/>
        <v>0.12</v>
      </c>
      <c r="Y46" s="8">
        <f t="shared" si="7"/>
        <v>784.8000000000001</v>
      </c>
      <c r="Z46" s="8">
        <f t="shared" si="8"/>
        <v>1784.8000000000002</v>
      </c>
      <c r="AA46" s="8">
        <f t="shared" si="9"/>
        <v>160</v>
      </c>
    </row>
    <row r="47" spans="14:27" ht="15.75">
      <c r="N47" s="16">
        <v>22</v>
      </c>
      <c r="O47" s="16">
        <f t="shared" si="3"/>
        <v>22</v>
      </c>
      <c r="P47" s="14">
        <f t="shared" si="4"/>
        <v>0.4199012965480519</v>
      </c>
      <c r="Q47" s="14">
        <f t="shared" si="5"/>
        <v>-1.660197406903896</v>
      </c>
      <c r="R47" s="8">
        <f t="shared" si="6"/>
        <v>1</v>
      </c>
      <c r="S47" s="7">
        <f t="shared" si="1"/>
        <v>13</v>
      </c>
      <c r="T47" s="7">
        <f t="shared" si="2"/>
        <v>0</v>
      </c>
      <c r="U47" s="7">
        <f t="shared" si="0"/>
        <v>0.13</v>
      </c>
      <c r="Y47" s="8">
        <f t="shared" si="7"/>
        <v>784.8000000000001</v>
      </c>
      <c r="Z47" s="8">
        <f t="shared" si="8"/>
        <v>1784.8000000000002</v>
      </c>
      <c r="AA47" s="8">
        <f t="shared" si="9"/>
        <v>160</v>
      </c>
    </row>
    <row r="48" spans="14:27" ht="15.75">
      <c r="N48" s="16">
        <v>23</v>
      </c>
      <c r="O48" s="16">
        <f t="shared" si="3"/>
        <v>23</v>
      </c>
      <c r="P48" s="14">
        <f t="shared" si="4"/>
        <v>0.43898771911841794</v>
      </c>
      <c r="Q48" s="14">
        <f t="shared" si="5"/>
        <v>-1.6220245617631641</v>
      </c>
      <c r="R48" s="8">
        <f t="shared" si="6"/>
        <v>1</v>
      </c>
      <c r="S48" s="7">
        <f t="shared" si="1"/>
        <v>13</v>
      </c>
      <c r="T48" s="7">
        <f t="shared" si="2"/>
        <v>2.5</v>
      </c>
      <c r="U48" s="7">
        <f t="shared" si="0"/>
        <v>0.13</v>
      </c>
      <c r="Y48" s="8">
        <f t="shared" si="7"/>
        <v>784.8000000000001</v>
      </c>
      <c r="Z48" s="8">
        <f t="shared" si="8"/>
        <v>1784.8000000000002</v>
      </c>
      <c r="AA48" s="8">
        <f t="shared" si="9"/>
        <v>160</v>
      </c>
    </row>
    <row r="49" spans="14:27" ht="15.75">
      <c r="N49" s="16">
        <v>24</v>
      </c>
      <c r="O49" s="16">
        <f t="shared" si="3"/>
        <v>24</v>
      </c>
      <c r="P49" s="14">
        <f t="shared" si="4"/>
        <v>0.4580741416887839</v>
      </c>
      <c r="Q49" s="14">
        <f t="shared" si="5"/>
        <v>-1.5838517166224322</v>
      </c>
      <c r="R49" s="8">
        <f t="shared" si="6"/>
        <v>1</v>
      </c>
      <c r="S49" s="7">
        <f t="shared" si="1"/>
        <v>14</v>
      </c>
      <c r="T49" s="7">
        <f t="shared" si="2"/>
        <v>0</v>
      </c>
      <c r="U49" s="7">
        <f t="shared" si="0"/>
        <v>0.14</v>
      </c>
      <c r="Y49" s="8">
        <f t="shared" si="7"/>
        <v>784.8000000000001</v>
      </c>
      <c r="Z49" s="8">
        <f t="shared" si="8"/>
        <v>1784.8000000000002</v>
      </c>
      <c r="AA49" s="8">
        <f t="shared" si="9"/>
        <v>160</v>
      </c>
    </row>
    <row r="50" spans="14:27" ht="15.75">
      <c r="N50" s="16">
        <v>25</v>
      </c>
      <c r="O50" s="16">
        <f t="shared" si="3"/>
        <v>25</v>
      </c>
      <c r="P50" s="14">
        <f t="shared" si="4"/>
        <v>0.4771605642591499</v>
      </c>
      <c r="Q50" s="14">
        <f t="shared" si="5"/>
        <v>-1.5456788714817002</v>
      </c>
      <c r="R50" s="8">
        <f t="shared" si="6"/>
        <v>1</v>
      </c>
      <c r="S50" s="7">
        <f t="shared" si="1"/>
        <v>14</v>
      </c>
      <c r="T50" s="7">
        <f t="shared" si="2"/>
        <v>2.5</v>
      </c>
      <c r="U50" s="7">
        <f t="shared" si="0"/>
        <v>0.14</v>
      </c>
      <c r="Y50" s="8">
        <f t="shared" si="7"/>
        <v>784.8000000000001</v>
      </c>
      <c r="Z50" s="8">
        <f t="shared" si="8"/>
        <v>1784.8000000000002</v>
      </c>
      <c r="AA50" s="8">
        <f t="shared" si="9"/>
        <v>160</v>
      </c>
    </row>
    <row r="51" spans="14:27" ht="15.75">
      <c r="N51" s="16">
        <v>26</v>
      </c>
      <c r="O51" s="16">
        <f t="shared" si="3"/>
        <v>26</v>
      </c>
      <c r="P51" s="14">
        <f t="shared" si="4"/>
        <v>0.4962469868295159</v>
      </c>
      <c r="Q51" s="14">
        <f t="shared" si="5"/>
        <v>-1.5075060263409683</v>
      </c>
      <c r="R51" s="8">
        <f t="shared" si="6"/>
        <v>1</v>
      </c>
      <c r="S51" s="7">
        <f t="shared" si="1"/>
        <v>15</v>
      </c>
      <c r="T51" s="7">
        <f t="shared" si="2"/>
        <v>0</v>
      </c>
      <c r="U51" s="7">
        <f t="shared" si="0"/>
        <v>0.15</v>
      </c>
      <c r="Y51" s="8">
        <f t="shared" si="7"/>
        <v>784.8000000000001</v>
      </c>
      <c r="Z51" s="8">
        <f t="shared" si="8"/>
        <v>1784.8000000000002</v>
      </c>
      <c r="AA51" s="8">
        <f t="shared" si="9"/>
        <v>160</v>
      </c>
    </row>
    <row r="52" spans="14:27" ht="15.75">
      <c r="N52" s="16">
        <v>27</v>
      </c>
      <c r="O52" s="16">
        <f t="shared" si="3"/>
        <v>27</v>
      </c>
      <c r="P52" s="14">
        <f t="shared" si="4"/>
        <v>0.5153334093998819</v>
      </c>
      <c r="Q52" s="14">
        <f t="shared" si="5"/>
        <v>-1.4693331812002361</v>
      </c>
      <c r="R52" s="8">
        <f t="shared" si="6"/>
        <v>1</v>
      </c>
      <c r="S52" s="7">
        <f t="shared" si="1"/>
        <v>15</v>
      </c>
      <c r="T52" s="7">
        <f t="shared" si="2"/>
        <v>2.5</v>
      </c>
      <c r="U52" s="7">
        <f t="shared" si="0"/>
        <v>0.15</v>
      </c>
      <c r="Y52" s="8">
        <f t="shared" si="7"/>
        <v>784.8000000000001</v>
      </c>
      <c r="Z52" s="8">
        <f t="shared" si="8"/>
        <v>1784.8000000000002</v>
      </c>
      <c r="AA52" s="8">
        <f t="shared" si="9"/>
        <v>160</v>
      </c>
    </row>
    <row r="53" spans="14:27" ht="15.75">
      <c r="N53" s="16">
        <v>28</v>
      </c>
      <c r="O53" s="16">
        <f t="shared" si="3"/>
        <v>28</v>
      </c>
      <c r="P53" s="14">
        <f t="shared" si="4"/>
        <v>0.5344198319702479</v>
      </c>
      <c r="Q53" s="14">
        <f t="shared" si="5"/>
        <v>-1.4311603360595042</v>
      </c>
      <c r="R53" s="8">
        <f t="shared" si="6"/>
        <v>1</v>
      </c>
      <c r="S53" s="7">
        <f t="shared" si="1"/>
        <v>16</v>
      </c>
      <c r="T53" s="7">
        <f t="shared" si="2"/>
        <v>0</v>
      </c>
      <c r="U53" s="7">
        <f aca="true" t="shared" si="10" ref="U53:U84">S53*$T$19</f>
        <v>0.16</v>
      </c>
      <c r="Y53" s="8">
        <f t="shared" si="7"/>
        <v>784.8000000000001</v>
      </c>
      <c r="Z53" s="8">
        <f t="shared" si="8"/>
        <v>1784.8000000000002</v>
      </c>
      <c r="AA53" s="8">
        <f t="shared" si="9"/>
        <v>160</v>
      </c>
    </row>
    <row r="54" spans="14:27" ht="15.75">
      <c r="N54" s="16">
        <v>29</v>
      </c>
      <c r="O54" s="16">
        <f t="shared" si="3"/>
        <v>29</v>
      </c>
      <c r="P54" s="14">
        <f t="shared" si="4"/>
        <v>0.5535062545406139</v>
      </c>
      <c r="Q54" s="14">
        <f t="shared" si="5"/>
        <v>-1.3929874909187723</v>
      </c>
      <c r="R54" s="8">
        <f t="shared" si="6"/>
        <v>1</v>
      </c>
      <c r="S54" s="7">
        <f t="shared" si="1"/>
        <v>16</v>
      </c>
      <c r="T54" s="7">
        <f t="shared" si="2"/>
        <v>2.5</v>
      </c>
      <c r="U54" s="7">
        <f t="shared" si="10"/>
        <v>0.16</v>
      </c>
      <c r="Y54" s="8">
        <f t="shared" si="7"/>
        <v>784.8000000000001</v>
      </c>
      <c r="Z54" s="8">
        <f t="shared" si="8"/>
        <v>1784.8000000000002</v>
      </c>
      <c r="AA54" s="8">
        <f t="shared" si="9"/>
        <v>160</v>
      </c>
    </row>
    <row r="55" spans="14:27" ht="15.75">
      <c r="N55" s="16">
        <v>30</v>
      </c>
      <c r="O55" s="16">
        <f t="shared" si="3"/>
        <v>30</v>
      </c>
      <c r="P55" s="14">
        <f t="shared" si="4"/>
        <v>0.5725926771109799</v>
      </c>
      <c r="Q55" s="14">
        <f t="shared" si="5"/>
        <v>-1.3548146457780401</v>
      </c>
      <c r="R55" s="8">
        <f t="shared" si="6"/>
        <v>1</v>
      </c>
      <c r="S55" s="7">
        <f aca="true" t="shared" si="11" ref="S55:S86">S53+1</f>
        <v>17</v>
      </c>
      <c r="T55" s="7">
        <f aca="true" t="shared" si="12" ref="T55:T86">T53</f>
        <v>0</v>
      </c>
      <c r="U55" s="7">
        <f t="shared" si="10"/>
        <v>0.17</v>
      </c>
      <c r="Y55" s="8">
        <f t="shared" si="7"/>
        <v>784.8000000000001</v>
      </c>
      <c r="Z55" s="8">
        <f t="shared" si="8"/>
        <v>1784.8000000000002</v>
      </c>
      <c r="AA55" s="8">
        <f t="shared" si="9"/>
        <v>160</v>
      </c>
    </row>
    <row r="56" spans="14:27" ht="15.75">
      <c r="N56" s="16">
        <v>31</v>
      </c>
      <c r="O56" s="16">
        <f aca="true" t="shared" si="13" ref="O56:O87">MIN(N56,$H$6)</f>
        <v>31</v>
      </c>
      <c r="P56" s="14">
        <f aca="true" t="shared" si="14" ref="P56:P87">O56*$O$22</f>
        <v>0.5916790996813459</v>
      </c>
      <c r="Q56" s="14">
        <f aca="true" t="shared" si="15" ref="Q56:Q87">IF(P56&lt;$O$16,-$O$5+$O$15*P56,-$F$5+$F$3*COS($F$4/180*PI())*(P56-$O$16))</f>
        <v>-1.3166418006373082</v>
      </c>
      <c r="R56" s="8">
        <f aca="true" t="shared" si="16" ref="R56:R87">IF(P56&lt;$O$16,$F$2,$F$2+$F$3*SIN($F$4/180*PI())*(P56-$O$16)-0.5*9.81*(P56-$O$16)^2)</f>
        <v>1</v>
      </c>
      <c r="S56" s="7">
        <f t="shared" si="11"/>
        <v>17</v>
      </c>
      <c r="T56" s="7">
        <f t="shared" si="12"/>
        <v>2.5</v>
      </c>
      <c r="U56" s="7">
        <f t="shared" si="10"/>
        <v>0.17</v>
      </c>
      <c r="Y56" s="8">
        <f aca="true" t="shared" si="17" ref="Y56:Y87">$C$3*9.81*R56</f>
        <v>784.8000000000001</v>
      </c>
      <c r="Z56" s="8">
        <f aca="true" t="shared" si="18" ref="Z56:Z87">0.5*$C$3*$F$3^2+$C$3*9.81*$W$29</f>
        <v>1784.8000000000002</v>
      </c>
      <c r="AA56" s="8">
        <f aca="true" t="shared" si="19" ref="AA56:AA87">IF(P56&lt;$O$16,0.5*$C$3*$O$15^2,Z56-Y56)</f>
        <v>160</v>
      </c>
    </row>
    <row r="57" spans="14:27" ht="15.75">
      <c r="N57" s="16">
        <v>32</v>
      </c>
      <c r="O57" s="16">
        <f t="shared" si="13"/>
        <v>32</v>
      </c>
      <c r="P57" s="14">
        <f t="shared" si="14"/>
        <v>0.6107655222517119</v>
      </c>
      <c r="Q57" s="14">
        <f t="shared" si="15"/>
        <v>-1.2784689554965762</v>
      </c>
      <c r="R57" s="8">
        <f t="shared" si="16"/>
        <v>1</v>
      </c>
      <c r="S57" s="7">
        <f t="shared" si="11"/>
        <v>18</v>
      </c>
      <c r="T57" s="7">
        <f t="shared" si="12"/>
        <v>0</v>
      </c>
      <c r="U57" s="7">
        <f t="shared" si="10"/>
        <v>0.18</v>
      </c>
      <c r="Y57" s="8">
        <f t="shared" si="17"/>
        <v>784.8000000000001</v>
      </c>
      <c r="Z57" s="8">
        <f t="shared" si="18"/>
        <v>1784.8000000000002</v>
      </c>
      <c r="AA57" s="8">
        <f t="shared" si="19"/>
        <v>160</v>
      </c>
    </row>
    <row r="58" spans="14:27" ht="15.75">
      <c r="N58" s="16">
        <v>33</v>
      </c>
      <c r="O58" s="16">
        <f t="shared" si="13"/>
        <v>33</v>
      </c>
      <c r="P58" s="14">
        <f t="shared" si="14"/>
        <v>0.6298519448220778</v>
      </c>
      <c r="Q58" s="14">
        <f t="shared" si="15"/>
        <v>-1.2402961103558443</v>
      </c>
      <c r="R58" s="8">
        <f t="shared" si="16"/>
        <v>1</v>
      </c>
      <c r="S58" s="7">
        <f t="shared" si="11"/>
        <v>18</v>
      </c>
      <c r="T58" s="7">
        <f t="shared" si="12"/>
        <v>2.5</v>
      </c>
      <c r="U58" s="7">
        <f t="shared" si="10"/>
        <v>0.18</v>
      </c>
      <c r="Y58" s="8">
        <f t="shared" si="17"/>
        <v>784.8000000000001</v>
      </c>
      <c r="Z58" s="8">
        <f t="shared" si="18"/>
        <v>1784.8000000000002</v>
      </c>
      <c r="AA58" s="8">
        <f t="shared" si="19"/>
        <v>160</v>
      </c>
    </row>
    <row r="59" spans="14:27" ht="15.75">
      <c r="N59" s="16">
        <v>34</v>
      </c>
      <c r="O59" s="16">
        <f t="shared" si="13"/>
        <v>34</v>
      </c>
      <c r="P59" s="14">
        <f t="shared" si="14"/>
        <v>0.6489383673924438</v>
      </c>
      <c r="Q59" s="14">
        <f t="shared" si="15"/>
        <v>-1.2021232652151124</v>
      </c>
      <c r="R59" s="8">
        <f t="shared" si="16"/>
        <v>1</v>
      </c>
      <c r="S59" s="7">
        <f t="shared" si="11"/>
        <v>19</v>
      </c>
      <c r="T59" s="7">
        <f t="shared" si="12"/>
        <v>0</v>
      </c>
      <c r="U59" s="7">
        <f t="shared" si="10"/>
        <v>0.19</v>
      </c>
      <c r="Y59" s="8">
        <f t="shared" si="17"/>
        <v>784.8000000000001</v>
      </c>
      <c r="Z59" s="8">
        <f t="shared" si="18"/>
        <v>1784.8000000000002</v>
      </c>
      <c r="AA59" s="8">
        <f t="shared" si="19"/>
        <v>160</v>
      </c>
    </row>
    <row r="60" spans="14:27" ht="15.75">
      <c r="N60" s="16">
        <v>35</v>
      </c>
      <c r="O60" s="16">
        <f t="shared" si="13"/>
        <v>35</v>
      </c>
      <c r="P60" s="14">
        <f t="shared" si="14"/>
        <v>0.6680247899628099</v>
      </c>
      <c r="Q60" s="14">
        <f t="shared" si="15"/>
        <v>-1.1639504200743802</v>
      </c>
      <c r="R60" s="8">
        <f t="shared" si="16"/>
        <v>1</v>
      </c>
      <c r="S60" s="7">
        <f t="shared" si="11"/>
        <v>19</v>
      </c>
      <c r="T60" s="7">
        <f t="shared" si="12"/>
        <v>2.5</v>
      </c>
      <c r="U60" s="7">
        <f t="shared" si="10"/>
        <v>0.19</v>
      </c>
      <c r="Y60" s="8">
        <f t="shared" si="17"/>
        <v>784.8000000000001</v>
      </c>
      <c r="Z60" s="8">
        <f t="shared" si="18"/>
        <v>1784.8000000000002</v>
      </c>
      <c r="AA60" s="8">
        <f t="shared" si="19"/>
        <v>160</v>
      </c>
    </row>
    <row r="61" spans="14:27" ht="15.75">
      <c r="N61" s="16">
        <v>36</v>
      </c>
      <c r="O61" s="16">
        <f t="shared" si="13"/>
        <v>36</v>
      </c>
      <c r="P61" s="14">
        <f t="shared" si="14"/>
        <v>0.6871112125331759</v>
      </c>
      <c r="Q61" s="14">
        <f t="shared" si="15"/>
        <v>-1.1257775749336483</v>
      </c>
      <c r="R61" s="8">
        <f t="shared" si="16"/>
        <v>1</v>
      </c>
      <c r="S61" s="7">
        <f t="shared" si="11"/>
        <v>20</v>
      </c>
      <c r="T61" s="7">
        <f t="shared" si="12"/>
        <v>0</v>
      </c>
      <c r="U61" s="7">
        <f t="shared" si="10"/>
        <v>0.2</v>
      </c>
      <c r="Y61" s="8">
        <f t="shared" si="17"/>
        <v>784.8000000000001</v>
      </c>
      <c r="Z61" s="8">
        <f t="shared" si="18"/>
        <v>1784.8000000000002</v>
      </c>
      <c r="AA61" s="8">
        <f t="shared" si="19"/>
        <v>160</v>
      </c>
    </row>
    <row r="62" spans="14:27" ht="15.75">
      <c r="N62" s="16">
        <v>37</v>
      </c>
      <c r="O62" s="16">
        <f t="shared" si="13"/>
        <v>37</v>
      </c>
      <c r="P62" s="14">
        <f t="shared" si="14"/>
        <v>0.7061976351035418</v>
      </c>
      <c r="Q62" s="14">
        <f t="shared" si="15"/>
        <v>-1.0876047297929163</v>
      </c>
      <c r="R62" s="8">
        <f t="shared" si="16"/>
        <v>1</v>
      </c>
      <c r="S62" s="7">
        <f t="shared" si="11"/>
        <v>20</v>
      </c>
      <c r="T62" s="7">
        <f t="shared" si="12"/>
        <v>2.5</v>
      </c>
      <c r="U62" s="7">
        <f t="shared" si="10"/>
        <v>0.2</v>
      </c>
      <c r="Y62" s="8">
        <f t="shared" si="17"/>
        <v>784.8000000000001</v>
      </c>
      <c r="Z62" s="8">
        <f t="shared" si="18"/>
        <v>1784.8000000000002</v>
      </c>
      <c r="AA62" s="8">
        <f t="shared" si="19"/>
        <v>160</v>
      </c>
    </row>
    <row r="63" spans="14:27" ht="15.75">
      <c r="N63" s="16">
        <v>38</v>
      </c>
      <c r="O63" s="16">
        <f t="shared" si="13"/>
        <v>38</v>
      </c>
      <c r="P63" s="14">
        <f t="shared" si="14"/>
        <v>0.7252840576739079</v>
      </c>
      <c r="Q63" s="14">
        <f t="shared" si="15"/>
        <v>-1.0494318846521842</v>
      </c>
      <c r="R63" s="8">
        <f t="shared" si="16"/>
        <v>1</v>
      </c>
      <c r="S63" s="7">
        <f t="shared" si="11"/>
        <v>21</v>
      </c>
      <c r="T63" s="7">
        <f t="shared" si="12"/>
        <v>0</v>
      </c>
      <c r="U63" s="7">
        <f t="shared" si="10"/>
        <v>0.21</v>
      </c>
      <c r="Y63" s="8">
        <f t="shared" si="17"/>
        <v>784.8000000000001</v>
      </c>
      <c r="Z63" s="8">
        <f t="shared" si="18"/>
        <v>1784.8000000000002</v>
      </c>
      <c r="AA63" s="8">
        <f t="shared" si="19"/>
        <v>160</v>
      </c>
    </row>
    <row r="64" spans="14:27" ht="15.75">
      <c r="N64" s="16">
        <v>39</v>
      </c>
      <c r="O64" s="16">
        <f t="shared" si="13"/>
        <v>39</v>
      </c>
      <c r="P64" s="14">
        <f t="shared" si="14"/>
        <v>0.7443704802442739</v>
      </c>
      <c r="Q64" s="14">
        <f t="shared" si="15"/>
        <v>-1.0112590395114522</v>
      </c>
      <c r="R64" s="8">
        <f t="shared" si="16"/>
        <v>1</v>
      </c>
      <c r="S64" s="7">
        <f t="shared" si="11"/>
        <v>21</v>
      </c>
      <c r="T64" s="7">
        <f t="shared" si="12"/>
        <v>2.5</v>
      </c>
      <c r="U64" s="7">
        <f t="shared" si="10"/>
        <v>0.21</v>
      </c>
      <c r="Y64" s="8">
        <f t="shared" si="17"/>
        <v>784.8000000000001</v>
      </c>
      <c r="Z64" s="8">
        <f t="shared" si="18"/>
        <v>1784.8000000000002</v>
      </c>
      <c r="AA64" s="8">
        <f t="shared" si="19"/>
        <v>160</v>
      </c>
    </row>
    <row r="65" spans="14:27" ht="15.75">
      <c r="N65" s="16">
        <v>40</v>
      </c>
      <c r="O65" s="16">
        <f t="shared" si="13"/>
        <v>40</v>
      </c>
      <c r="P65" s="14">
        <f t="shared" si="14"/>
        <v>0.7634569028146398</v>
      </c>
      <c r="Q65" s="14">
        <f t="shared" si="15"/>
        <v>-0.9730861943707203</v>
      </c>
      <c r="R65" s="8">
        <f t="shared" si="16"/>
        <v>1</v>
      </c>
      <c r="S65" s="7">
        <f t="shared" si="11"/>
        <v>22</v>
      </c>
      <c r="T65" s="7">
        <f t="shared" si="12"/>
        <v>0</v>
      </c>
      <c r="U65" s="7">
        <f t="shared" si="10"/>
        <v>0.22</v>
      </c>
      <c r="Y65" s="8">
        <f t="shared" si="17"/>
        <v>784.8000000000001</v>
      </c>
      <c r="Z65" s="8">
        <f t="shared" si="18"/>
        <v>1784.8000000000002</v>
      </c>
      <c r="AA65" s="8">
        <f t="shared" si="19"/>
        <v>160</v>
      </c>
    </row>
    <row r="66" spans="14:27" ht="15.75">
      <c r="N66" s="16">
        <v>41</v>
      </c>
      <c r="O66" s="16">
        <f t="shared" si="13"/>
        <v>41</v>
      </c>
      <c r="P66" s="14">
        <f t="shared" si="14"/>
        <v>0.7825433253850058</v>
      </c>
      <c r="Q66" s="14">
        <f t="shared" si="15"/>
        <v>-0.9349133492299884</v>
      </c>
      <c r="R66" s="8">
        <f t="shared" si="16"/>
        <v>1</v>
      </c>
      <c r="S66" s="7">
        <f t="shared" si="11"/>
        <v>22</v>
      </c>
      <c r="T66" s="7">
        <f t="shared" si="12"/>
        <v>2.5</v>
      </c>
      <c r="U66" s="7">
        <f t="shared" si="10"/>
        <v>0.22</v>
      </c>
      <c r="Y66" s="8">
        <f t="shared" si="17"/>
        <v>784.8000000000001</v>
      </c>
      <c r="Z66" s="8">
        <f t="shared" si="18"/>
        <v>1784.8000000000002</v>
      </c>
      <c r="AA66" s="8">
        <f t="shared" si="19"/>
        <v>160</v>
      </c>
    </row>
    <row r="67" spans="14:27" ht="15.75">
      <c r="N67" s="16">
        <v>42</v>
      </c>
      <c r="O67" s="16">
        <f t="shared" si="13"/>
        <v>42</v>
      </c>
      <c r="P67" s="14">
        <f t="shared" si="14"/>
        <v>0.8016297479553718</v>
      </c>
      <c r="Q67" s="14">
        <f t="shared" si="15"/>
        <v>-0.8967405040892564</v>
      </c>
      <c r="R67" s="8">
        <f t="shared" si="16"/>
        <v>1</v>
      </c>
      <c r="S67" s="7">
        <f t="shared" si="11"/>
        <v>23</v>
      </c>
      <c r="T67" s="7">
        <f t="shared" si="12"/>
        <v>0</v>
      </c>
      <c r="U67" s="7">
        <f t="shared" si="10"/>
        <v>0.23</v>
      </c>
      <c r="Y67" s="8">
        <f t="shared" si="17"/>
        <v>784.8000000000001</v>
      </c>
      <c r="Z67" s="8">
        <f t="shared" si="18"/>
        <v>1784.8000000000002</v>
      </c>
      <c r="AA67" s="8">
        <f t="shared" si="19"/>
        <v>160</v>
      </c>
    </row>
    <row r="68" spans="14:27" ht="15.75">
      <c r="N68" s="16">
        <v>43</v>
      </c>
      <c r="O68" s="16">
        <f t="shared" si="13"/>
        <v>43</v>
      </c>
      <c r="P68" s="14">
        <f t="shared" si="14"/>
        <v>0.8207161705257379</v>
      </c>
      <c r="Q68" s="14">
        <f t="shared" si="15"/>
        <v>-0.8585676589485243</v>
      </c>
      <c r="R68" s="8">
        <f t="shared" si="16"/>
        <v>1</v>
      </c>
      <c r="S68" s="7">
        <f t="shared" si="11"/>
        <v>23</v>
      </c>
      <c r="T68" s="7">
        <f t="shared" si="12"/>
        <v>2.5</v>
      </c>
      <c r="U68" s="7">
        <f t="shared" si="10"/>
        <v>0.23</v>
      </c>
      <c r="Y68" s="8">
        <f t="shared" si="17"/>
        <v>784.8000000000001</v>
      </c>
      <c r="Z68" s="8">
        <f t="shared" si="18"/>
        <v>1784.8000000000002</v>
      </c>
      <c r="AA68" s="8">
        <f t="shared" si="19"/>
        <v>160</v>
      </c>
    </row>
    <row r="69" spans="14:27" ht="15.75">
      <c r="N69" s="16">
        <v>44</v>
      </c>
      <c r="O69" s="16">
        <f t="shared" si="13"/>
        <v>44</v>
      </c>
      <c r="P69" s="14">
        <f t="shared" si="14"/>
        <v>0.8398025930961038</v>
      </c>
      <c r="Q69" s="14">
        <f t="shared" si="15"/>
        <v>-0.8217870821046784</v>
      </c>
      <c r="R69" s="8">
        <f t="shared" si="16"/>
        <v>1.0224516731285396</v>
      </c>
      <c r="S69" s="7">
        <f t="shared" si="11"/>
        <v>24</v>
      </c>
      <c r="T69" s="7">
        <f t="shared" si="12"/>
        <v>0</v>
      </c>
      <c r="U69" s="7">
        <f t="shared" si="10"/>
        <v>0.24</v>
      </c>
      <c r="Y69" s="8">
        <f t="shared" si="17"/>
        <v>802.4200730712779</v>
      </c>
      <c r="Z69" s="8">
        <f t="shared" si="18"/>
        <v>1784.8000000000002</v>
      </c>
      <c r="AA69" s="8">
        <f t="shared" si="19"/>
        <v>982.3799269287223</v>
      </c>
    </row>
    <row r="70" spans="14:27" ht="15.75">
      <c r="N70" s="16">
        <v>45</v>
      </c>
      <c r="O70" s="16">
        <f t="shared" si="13"/>
        <v>45</v>
      </c>
      <c r="P70" s="14">
        <f t="shared" si="14"/>
        <v>0.8588890156664698</v>
      </c>
      <c r="Q70" s="14">
        <f t="shared" si="15"/>
        <v>-0.7891473771892241</v>
      </c>
      <c r="R70" s="8">
        <f t="shared" si="16"/>
        <v>1.1094424484321428</v>
      </c>
      <c r="S70" s="7">
        <f t="shared" si="11"/>
        <v>24</v>
      </c>
      <c r="T70" s="7">
        <f t="shared" si="12"/>
        <v>2.5</v>
      </c>
      <c r="U70" s="7">
        <f t="shared" si="10"/>
        <v>0.24</v>
      </c>
      <c r="Y70" s="8">
        <f t="shared" si="17"/>
        <v>870.6904335295458</v>
      </c>
      <c r="Z70" s="8">
        <f t="shared" si="18"/>
        <v>1784.8000000000002</v>
      </c>
      <c r="AA70" s="8">
        <f t="shared" si="19"/>
        <v>914.1095664704544</v>
      </c>
    </row>
    <row r="71" spans="14:27" ht="15.75">
      <c r="N71" s="16">
        <v>46</v>
      </c>
      <c r="O71" s="16">
        <f t="shared" si="13"/>
        <v>46</v>
      </c>
      <c r="P71" s="14">
        <f t="shared" si="14"/>
        <v>0.8779754382368359</v>
      </c>
      <c r="Q71" s="14">
        <f t="shared" si="15"/>
        <v>-0.7565076722737697</v>
      </c>
      <c r="R71" s="8">
        <f t="shared" si="16"/>
        <v>1.1928595238604425</v>
      </c>
      <c r="S71" s="7">
        <f t="shared" si="11"/>
        <v>25</v>
      </c>
      <c r="T71" s="7">
        <f t="shared" si="12"/>
        <v>0</v>
      </c>
      <c r="U71" s="7">
        <f t="shared" si="10"/>
        <v>0.25</v>
      </c>
      <c r="Y71" s="8">
        <f t="shared" si="17"/>
        <v>936.1561543256753</v>
      </c>
      <c r="Z71" s="8">
        <f t="shared" si="18"/>
        <v>1784.8000000000002</v>
      </c>
      <c r="AA71" s="8">
        <f t="shared" si="19"/>
        <v>848.6438456743249</v>
      </c>
    </row>
    <row r="72" spans="14:27" ht="15.75">
      <c r="N72" s="16">
        <v>47</v>
      </c>
      <c r="O72" s="16">
        <f t="shared" si="13"/>
        <v>47</v>
      </c>
      <c r="P72" s="14">
        <f t="shared" si="14"/>
        <v>0.8970618608072018</v>
      </c>
      <c r="Q72" s="14">
        <f t="shared" si="15"/>
        <v>-0.7238679673583155</v>
      </c>
      <c r="R72" s="8">
        <f t="shared" si="16"/>
        <v>1.2727028994134373</v>
      </c>
      <c r="S72" s="7">
        <f t="shared" si="11"/>
        <v>25</v>
      </c>
      <c r="T72" s="7">
        <f t="shared" si="12"/>
        <v>2.5</v>
      </c>
      <c r="U72" s="7">
        <f t="shared" si="10"/>
        <v>0.25</v>
      </c>
      <c r="Y72" s="8">
        <f t="shared" si="17"/>
        <v>998.8172354596657</v>
      </c>
      <c r="Z72" s="8">
        <f t="shared" si="18"/>
        <v>1784.8000000000002</v>
      </c>
      <c r="AA72" s="8">
        <f t="shared" si="19"/>
        <v>785.9827645403345</v>
      </c>
    </row>
    <row r="73" spans="14:27" ht="15.75">
      <c r="N73" s="16">
        <v>48</v>
      </c>
      <c r="O73" s="16">
        <f t="shared" si="13"/>
        <v>48</v>
      </c>
      <c r="P73" s="14">
        <f t="shared" si="14"/>
        <v>0.9161482833775678</v>
      </c>
      <c r="Q73" s="14">
        <f t="shared" si="15"/>
        <v>-0.6912282624428612</v>
      </c>
      <c r="R73" s="8">
        <f t="shared" si="16"/>
        <v>1.3489725750911281</v>
      </c>
      <c r="S73" s="7">
        <f t="shared" si="11"/>
        <v>26</v>
      </c>
      <c r="T73" s="7">
        <f t="shared" si="12"/>
        <v>0</v>
      </c>
      <c r="U73" s="7">
        <f t="shared" si="10"/>
        <v>0.26</v>
      </c>
      <c r="Y73" s="8">
        <f t="shared" si="17"/>
        <v>1058.6736769315175</v>
      </c>
      <c r="Z73" s="8">
        <f t="shared" si="18"/>
        <v>1784.8000000000002</v>
      </c>
      <c r="AA73" s="8">
        <f t="shared" si="19"/>
        <v>726.1263230684826</v>
      </c>
    </row>
    <row r="74" spans="14:27" ht="15.75">
      <c r="N74" s="16">
        <v>49</v>
      </c>
      <c r="O74" s="16">
        <f t="shared" si="13"/>
        <v>49</v>
      </c>
      <c r="P74" s="14">
        <f t="shared" si="14"/>
        <v>0.9352347059479338</v>
      </c>
      <c r="Q74" s="14">
        <f t="shared" si="15"/>
        <v>-0.658588557527407</v>
      </c>
      <c r="R74" s="8">
        <f t="shared" si="16"/>
        <v>1.4216685508935147</v>
      </c>
      <c r="S74" s="7">
        <f t="shared" si="11"/>
        <v>26</v>
      </c>
      <c r="T74" s="7">
        <f t="shared" si="12"/>
        <v>2.5</v>
      </c>
      <c r="U74" s="7">
        <f t="shared" si="10"/>
        <v>0.26</v>
      </c>
      <c r="Y74" s="8">
        <f t="shared" si="17"/>
        <v>1115.7254787412305</v>
      </c>
      <c r="Z74" s="8">
        <f t="shared" si="18"/>
        <v>1784.8000000000002</v>
      </c>
      <c r="AA74" s="8">
        <f t="shared" si="19"/>
        <v>669.0745212587697</v>
      </c>
    </row>
    <row r="75" spans="14:27" ht="15.75">
      <c r="N75" s="16">
        <v>50</v>
      </c>
      <c r="O75" s="16">
        <f t="shared" si="13"/>
        <v>50</v>
      </c>
      <c r="P75" s="14">
        <f t="shared" si="14"/>
        <v>0.9543211285182998</v>
      </c>
      <c r="Q75" s="14">
        <f t="shared" si="15"/>
        <v>-0.6259488526119528</v>
      </c>
      <c r="R75" s="8">
        <f t="shared" si="16"/>
        <v>1.4907908268205972</v>
      </c>
      <c r="S75" s="7">
        <f t="shared" si="11"/>
        <v>27</v>
      </c>
      <c r="T75" s="7">
        <f t="shared" si="12"/>
        <v>0</v>
      </c>
      <c r="U75" s="7">
        <f t="shared" si="10"/>
        <v>0.27</v>
      </c>
      <c r="Y75" s="8">
        <f t="shared" si="17"/>
        <v>1169.9726408888048</v>
      </c>
      <c r="Z75" s="8">
        <f t="shared" si="18"/>
        <v>1784.8000000000002</v>
      </c>
      <c r="AA75" s="8">
        <f t="shared" si="19"/>
        <v>614.8273591111954</v>
      </c>
    </row>
    <row r="76" spans="14:27" ht="15.75">
      <c r="N76" s="16">
        <v>51</v>
      </c>
      <c r="O76" s="16">
        <f t="shared" si="13"/>
        <v>51</v>
      </c>
      <c r="P76" s="14">
        <f t="shared" si="14"/>
        <v>0.9734075510886658</v>
      </c>
      <c r="Q76" s="14">
        <f t="shared" si="15"/>
        <v>-0.5933091476964982</v>
      </c>
      <c r="R76" s="8">
        <f t="shared" si="16"/>
        <v>1.5563394028723756</v>
      </c>
      <c r="S76" s="7">
        <f t="shared" si="11"/>
        <v>27</v>
      </c>
      <c r="T76" s="7">
        <f t="shared" si="12"/>
        <v>2.5</v>
      </c>
      <c r="U76" s="7">
        <f t="shared" si="10"/>
        <v>0.27</v>
      </c>
      <c r="Y76" s="8">
        <f t="shared" si="17"/>
        <v>1221.4151633742404</v>
      </c>
      <c r="Z76" s="8">
        <f t="shared" si="18"/>
        <v>1784.8000000000002</v>
      </c>
      <c r="AA76" s="8">
        <f t="shared" si="19"/>
        <v>563.3848366257598</v>
      </c>
    </row>
    <row r="77" spans="14:27" ht="15.75">
      <c r="N77" s="16">
        <v>52</v>
      </c>
      <c r="O77" s="16">
        <f t="shared" si="13"/>
        <v>52</v>
      </c>
      <c r="P77" s="14">
        <f t="shared" si="14"/>
        <v>0.9924939736590318</v>
      </c>
      <c r="Q77" s="14">
        <f t="shared" si="15"/>
        <v>-0.560669442781044</v>
      </c>
      <c r="R77" s="8">
        <f t="shared" si="16"/>
        <v>1.6183142790488496</v>
      </c>
      <c r="S77" s="7">
        <f t="shared" si="11"/>
        <v>28</v>
      </c>
      <c r="T77" s="7">
        <f t="shared" si="12"/>
        <v>0</v>
      </c>
      <c r="U77" s="7">
        <f t="shared" si="10"/>
        <v>0.28</v>
      </c>
      <c r="Y77" s="8">
        <f t="shared" si="17"/>
        <v>1270.0530461975372</v>
      </c>
      <c r="Z77" s="8">
        <f t="shared" si="18"/>
        <v>1784.8000000000002</v>
      </c>
      <c r="AA77" s="8">
        <f t="shared" si="19"/>
        <v>514.7469538024629</v>
      </c>
    </row>
    <row r="78" spans="14:27" ht="15.75">
      <c r="N78" s="16">
        <v>53</v>
      </c>
      <c r="O78" s="16">
        <f t="shared" si="13"/>
        <v>53</v>
      </c>
      <c r="P78" s="14">
        <f t="shared" si="14"/>
        <v>1.0115803962293979</v>
      </c>
      <c r="Q78" s="14">
        <f t="shared" si="15"/>
        <v>-0.5280297378655896</v>
      </c>
      <c r="R78" s="8">
        <f t="shared" si="16"/>
        <v>1.6767154553500199</v>
      </c>
      <c r="S78" s="7">
        <f t="shared" si="11"/>
        <v>28</v>
      </c>
      <c r="T78" s="7">
        <f t="shared" si="12"/>
        <v>2.5</v>
      </c>
      <c r="U78" s="7">
        <f t="shared" si="10"/>
        <v>0.28</v>
      </c>
      <c r="Y78" s="8">
        <f t="shared" si="17"/>
        <v>1315.8862893586956</v>
      </c>
      <c r="Z78" s="8">
        <f t="shared" si="18"/>
        <v>1784.8000000000002</v>
      </c>
      <c r="AA78" s="8">
        <f t="shared" si="19"/>
        <v>468.91371064130453</v>
      </c>
    </row>
    <row r="79" spans="14:27" ht="15.75">
      <c r="N79" s="16">
        <v>54</v>
      </c>
      <c r="O79" s="16">
        <f t="shared" si="13"/>
        <v>54</v>
      </c>
      <c r="P79" s="14">
        <f t="shared" si="14"/>
        <v>1.0306668187997639</v>
      </c>
      <c r="Q79" s="14">
        <f t="shared" si="15"/>
        <v>-0.4953900329501354</v>
      </c>
      <c r="R79" s="8">
        <f t="shared" si="16"/>
        <v>1.7315429317758855</v>
      </c>
      <c r="S79" s="7">
        <f t="shared" si="11"/>
        <v>29</v>
      </c>
      <c r="T79" s="7">
        <f t="shared" si="12"/>
        <v>0</v>
      </c>
      <c r="U79" s="7">
        <f t="shared" si="10"/>
        <v>0.29</v>
      </c>
      <c r="Y79" s="8">
        <f t="shared" si="17"/>
        <v>1358.9148928577151</v>
      </c>
      <c r="Z79" s="8">
        <f t="shared" si="18"/>
        <v>1784.8000000000002</v>
      </c>
      <c r="AA79" s="8">
        <f t="shared" si="19"/>
        <v>425.88510714228505</v>
      </c>
    </row>
    <row r="80" spans="14:27" ht="15.75">
      <c r="N80" s="16">
        <v>55</v>
      </c>
      <c r="O80" s="16">
        <f t="shared" si="13"/>
        <v>55</v>
      </c>
      <c r="P80" s="14">
        <f t="shared" si="14"/>
        <v>1.0497532413701298</v>
      </c>
      <c r="Q80" s="14">
        <f t="shared" si="15"/>
        <v>-0.46275032803468114</v>
      </c>
      <c r="R80" s="8">
        <f t="shared" si="16"/>
        <v>1.7827967083264469</v>
      </c>
      <c r="S80" s="7">
        <f t="shared" si="11"/>
        <v>29</v>
      </c>
      <c r="T80" s="7">
        <f t="shared" si="12"/>
        <v>2.5</v>
      </c>
      <c r="U80" s="7">
        <f t="shared" si="10"/>
        <v>0.29</v>
      </c>
      <c r="Y80" s="8">
        <f t="shared" si="17"/>
        <v>1399.1388566945957</v>
      </c>
      <c r="Z80" s="8">
        <f t="shared" si="18"/>
        <v>1784.8000000000002</v>
      </c>
      <c r="AA80" s="8">
        <f t="shared" si="19"/>
        <v>385.6611433054045</v>
      </c>
    </row>
    <row r="81" spans="14:27" ht="15.75">
      <c r="N81" s="16">
        <v>56</v>
      </c>
      <c r="O81" s="16">
        <f t="shared" si="13"/>
        <v>56</v>
      </c>
      <c r="P81" s="14">
        <f t="shared" si="14"/>
        <v>1.0688396639404958</v>
      </c>
      <c r="Q81" s="14">
        <f t="shared" si="15"/>
        <v>-0.4301106231192269</v>
      </c>
      <c r="R81" s="8">
        <f t="shared" si="16"/>
        <v>1.830476785001704</v>
      </c>
      <c r="S81" s="7">
        <f t="shared" si="11"/>
        <v>30</v>
      </c>
      <c r="T81" s="7">
        <f t="shared" si="12"/>
        <v>0</v>
      </c>
      <c r="U81" s="7">
        <f t="shared" si="10"/>
        <v>0.3</v>
      </c>
      <c r="Y81" s="8">
        <f t="shared" si="17"/>
        <v>1436.5581808693375</v>
      </c>
      <c r="Z81" s="8">
        <f t="shared" si="18"/>
        <v>1784.8000000000002</v>
      </c>
      <c r="AA81" s="8">
        <f t="shared" si="19"/>
        <v>348.24181913066263</v>
      </c>
    </row>
    <row r="82" spans="14:27" ht="15.75">
      <c r="N82" s="16">
        <v>57</v>
      </c>
      <c r="O82" s="16">
        <f t="shared" si="13"/>
        <v>57</v>
      </c>
      <c r="P82" s="14">
        <f t="shared" si="14"/>
        <v>1.0879260865108618</v>
      </c>
      <c r="Q82" s="14">
        <f t="shared" si="15"/>
        <v>-0.3974709182037726</v>
      </c>
      <c r="R82" s="8">
        <f t="shared" si="16"/>
        <v>1.8745831618016573</v>
      </c>
      <c r="S82" s="7">
        <f t="shared" si="11"/>
        <v>30</v>
      </c>
      <c r="T82" s="7">
        <f t="shared" si="12"/>
        <v>2.5</v>
      </c>
      <c r="U82" s="7">
        <f t="shared" si="10"/>
        <v>0.3</v>
      </c>
      <c r="Y82" s="8">
        <f t="shared" si="17"/>
        <v>1471.1728653819407</v>
      </c>
      <c r="Z82" s="8">
        <f t="shared" si="18"/>
        <v>1784.8000000000002</v>
      </c>
      <c r="AA82" s="8">
        <f t="shared" si="19"/>
        <v>313.6271346180595</v>
      </c>
    </row>
    <row r="83" spans="14:27" ht="15.75">
      <c r="N83" s="16">
        <v>58</v>
      </c>
      <c r="O83" s="16">
        <f t="shared" si="13"/>
        <v>58</v>
      </c>
      <c r="P83" s="14">
        <f t="shared" si="14"/>
        <v>1.1070125090812277</v>
      </c>
      <c r="Q83" s="14">
        <f t="shared" si="15"/>
        <v>-0.3648312132883184</v>
      </c>
      <c r="R83" s="8">
        <f t="shared" si="16"/>
        <v>1.9151158387263063</v>
      </c>
      <c r="S83" s="7">
        <f t="shared" si="11"/>
        <v>31</v>
      </c>
      <c r="T83" s="7">
        <f t="shared" si="12"/>
        <v>0</v>
      </c>
      <c r="U83" s="7">
        <f t="shared" si="10"/>
        <v>0.31</v>
      </c>
      <c r="Y83" s="8">
        <f t="shared" si="17"/>
        <v>1502.9829102324054</v>
      </c>
      <c r="Z83" s="8">
        <f t="shared" si="18"/>
        <v>1784.8000000000002</v>
      </c>
      <c r="AA83" s="8">
        <f t="shared" si="19"/>
        <v>281.8170897675948</v>
      </c>
    </row>
    <row r="84" spans="14:27" ht="15.75">
      <c r="N84" s="16">
        <v>59</v>
      </c>
      <c r="O84" s="16">
        <f t="shared" si="13"/>
        <v>59</v>
      </c>
      <c r="P84" s="14">
        <f t="shared" si="14"/>
        <v>1.1260989316515937</v>
      </c>
      <c r="Q84" s="14">
        <f t="shared" si="15"/>
        <v>-0.33219150837286415</v>
      </c>
      <c r="R84" s="8">
        <f t="shared" si="16"/>
        <v>1.9520748157756505</v>
      </c>
      <c r="S84" s="7">
        <f t="shared" si="11"/>
        <v>31</v>
      </c>
      <c r="T84" s="7">
        <f t="shared" si="12"/>
        <v>2.5</v>
      </c>
      <c r="U84" s="7">
        <f t="shared" si="10"/>
        <v>0.31</v>
      </c>
      <c r="Y84" s="8">
        <f t="shared" si="17"/>
        <v>1531.9883154207307</v>
      </c>
      <c r="Z84" s="8">
        <f t="shared" si="18"/>
        <v>1784.8000000000002</v>
      </c>
      <c r="AA84" s="8">
        <f t="shared" si="19"/>
        <v>252.81168457926947</v>
      </c>
    </row>
    <row r="85" spans="14:27" ht="15.75">
      <c r="N85" s="16">
        <v>60</v>
      </c>
      <c r="O85" s="16">
        <f t="shared" si="13"/>
        <v>60</v>
      </c>
      <c r="P85" s="14">
        <f t="shared" si="14"/>
        <v>1.1451853542219599</v>
      </c>
      <c r="Q85" s="14">
        <f t="shared" si="15"/>
        <v>-0.2995518034574095</v>
      </c>
      <c r="R85" s="8">
        <f t="shared" si="16"/>
        <v>1.9854600929496917</v>
      </c>
      <c r="S85" s="7">
        <f t="shared" si="11"/>
        <v>32</v>
      </c>
      <c r="T85" s="7">
        <f t="shared" si="12"/>
        <v>0</v>
      </c>
      <c r="U85" s="7">
        <f aca="true" t="shared" si="20" ref="U85:U116">S85*$T$19</f>
        <v>0.32</v>
      </c>
      <c r="Y85" s="8">
        <f t="shared" si="17"/>
        <v>1558.1890809469182</v>
      </c>
      <c r="Z85" s="8">
        <f t="shared" si="18"/>
        <v>1784.8000000000002</v>
      </c>
      <c r="AA85" s="8">
        <f t="shared" si="19"/>
        <v>226.61091905308194</v>
      </c>
    </row>
    <row r="86" spans="14:27" ht="15.75">
      <c r="N86" s="16">
        <v>61</v>
      </c>
      <c r="O86" s="16">
        <f t="shared" si="13"/>
        <v>61</v>
      </c>
      <c r="P86" s="14">
        <f t="shared" si="14"/>
        <v>1.1642717767923259</v>
      </c>
      <c r="Q86" s="14">
        <f t="shared" si="15"/>
        <v>-0.2669120985419553</v>
      </c>
      <c r="R86" s="8">
        <f t="shared" si="16"/>
        <v>2.015271670248428</v>
      </c>
      <c r="S86" s="7">
        <f t="shared" si="11"/>
        <v>32</v>
      </c>
      <c r="T86" s="7">
        <f t="shared" si="12"/>
        <v>2.5</v>
      </c>
      <c r="U86" s="7">
        <f t="shared" si="20"/>
        <v>0.32</v>
      </c>
      <c r="Y86" s="8">
        <f t="shared" si="17"/>
        <v>1581.5852068109666</v>
      </c>
      <c r="Z86" s="8">
        <f t="shared" si="18"/>
        <v>1784.8000000000002</v>
      </c>
      <c r="AA86" s="8">
        <f t="shared" si="19"/>
        <v>203.21479318903357</v>
      </c>
    </row>
    <row r="87" spans="14:27" ht="15.75">
      <c r="N87" s="16">
        <v>62</v>
      </c>
      <c r="O87" s="16">
        <f t="shared" si="13"/>
        <v>62</v>
      </c>
      <c r="P87" s="14">
        <f t="shared" si="14"/>
        <v>1.1833581993626918</v>
      </c>
      <c r="Q87" s="14">
        <f t="shared" si="15"/>
        <v>-0.23427239362650099</v>
      </c>
      <c r="R87" s="8">
        <f t="shared" si="16"/>
        <v>2.0415095476718603</v>
      </c>
      <c r="S87" s="7">
        <f aca="true" t="shared" si="21" ref="S87:S118">S85+1</f>
        <v>33</v>
      </c>
      <c r="T87" s="7">
        <f aca="true" t="shared" si="22" ref="T87:T118">T85</f>
        <v>0</v>
      </c>
      <c r="U87" s="7">
        <f t="shared" si="20"/>
        <v>0.33</v>
      </c>
      <c r="Y87" s="8">
        <f t="shared" si="17"/>
        <v>1602.176693012876</v>
      </c>
      <c r="Z87" s="8">
        <f t="shared" si="18"/>
        <v>1784.8000000000002</v>
      </c>
      <c r="AA87" s="8">
        <f t="shared" si="19"/>
        <v>182.62330698712412</v>
      </c>
    </row>
    <row r="88" spans="14:27" ht="15.75">
      <c r="N88" s="16">
        <v>63</v>
      </c>
      <c r="O88" s="16">
        <f aca="true" t="shared" si="23" ref="O88:O119">MIN(N88,$H$6)</f>
        <v>63</v>
      </c>
      <c r="P88" s="14">
        <f aca="true" t="shared" si="24" ref="P88:P119">O88*$O$22</f>
        <v>1.2024446219330578</v>
      </c>
      <c r="Q88" s="14">
        <f aca="true" t="shared" si="25" ref="Q88:Q119">IF(P88&lt;$O$16,-$O$5+$O$15*P88,-$F$5+$F$3*COS($F$4/180*PI())*(P88-$O$16))</f>
        <v>-0.20163268871104678</v>
      </c>
      <c r="R88" s="8">
        <f aca="true" t="shared" si="26" ref="R88:R119">IF(P88&lt;$O$16,$F$2,$F$2+$F$3*SIN($F$4/180*PI())*(P88-$O$16)-0.5*9.81*(P88-$O$16)^2)</f>
        <v>2.0641737252199874</v>
      </c>
      <c r="S88" s="7">
        <f t="shared" si="21"/>
        <v>33</v>
      </c>
      <c r="T88" s="7">
        <f t="shared" si="22"/>
        <v>2.5</v>
      </c>
      <c r="U88" s="7">
        <f t="shared" si="20"/>
        <v>0.33</v>
      </c>
      <c r="Y88" s="8">
        <f aca="true" t="shared" si="27" ref="Y88:Y119">$C$3*9.81*R88</f>
        <v>1619.9635395526464</v>
      </c>
      <c r="Z88" s="8">
        <f aca="true" t="shared" si="28" ref="Z88:Z119">0.5*$C$3*$F$3^2+$C$3*9.81*$W$29</f>
        <v>1784.8000000000002</v>
      </c>
      <c r="AA88" s="8">
        <f aca="true" t="shared" si="29" ref="AA88:AA119">IF(P88&lt;$O$16,0.5*$C$3*$O$15^2,Z88-Y88)</f>
        <v>164.83646044735383</v>
      </c>
    </row>
    <row r="89" spans="14:27" ht="15.75">
      <c r="N89" s="16">
        <v>64</v>
      </c>
      <c r="O89" s="16">
        <f t="shared" si="23"/>
        <v>64</v>
      </c>
      <c r="P89" s="14">
        <f t="shared" si="24"/>
        <v>1.2215310445034238</v>
      </c>
      <c r="Q89" s="14">
        <f t="shared" si="25"/>
        <v>-0.16899298379559258</v>
      </c>
      <c r="R89" s="8">
        <f t="shared" si="26"/>
        <v>2.0832642028928112</v>
      </c>
      <c r="S89" s="7">
        <f t="shared" si="21"/>
        <v>34</v>
      </c>
      <c r="T89" s="7">
        <f t="shared" si="22"/>
        <v>0</v>
      </c>
      <c r="U89" s="7">
        <f t="shared" si="20"/>
        <v>0.34</v>
      </c>
      <c r="Y89" s="8">
        <f t="shared" si="27"/>
        <v>1634.9457464302784</v>
      </c>
      <c r="Z89" s="8">
        <f t="shared" si="28"/>
        <v>1784.8000000000002</v>
      </c>
      <c r="AA89" s="8">
        <f t="shared" si="29"/>
        <v>149.85425356972178</v>
      </c>
    </row>
    <row r="90" spans="14:27" ht="15.75">
      <c r="N90" s="16">
        <v>65</v>
      </c>
      <c r="O90" s="16">
        <f t="shared" si="23"/>
        <v>65</v>
      </c>
      <c r="P90" s="14">
        <f t="shared" si="24"/>
        <v>1.2406174670737897</v>
      </c>
      <c r="Q90" s="14">
        <f t="shared" si="25"/>
        <v>-0.13635327888013826</v>
      </c>
      <c r="R90" s="8">
        <f t="shared" si="26"/>
        <v>2.098780980690331</v>
      </c>
      <c r="S90" s="7">
        <f t="shared" si="21"/>
        <v>34</v>
      </c>
      <c r="T90" s="7">
        <f t="shared" si="22"/>
        <v>2.5</v>
      </c>
      <c r="U90" s="7">
        <f t="shared" si="20"/>
        <v>0.34</v>
      </c>
      <c r="Y90" s="8">
        <f t="shared" si="27"/>
        <v>1647.1233136457718</v>
      </c>
      <c r="Z90" s="8">
        <f t="shared" si="28"/>
        <v>1784.8000000000002</v>
      </c>
      <c r="AA90" s="8">
        <f t="shared" si="29"/>
        <v>137.67668635422842</v>
      </c>
    </row>
    <row r="91" spans="14:27" ht="15.75">
      <c r="N91" s="16">
        <v>66</v>
      </c>
      <c r="O91" s="16">
        <f t="shared" si="23"/>
        <v>66</v>
      </c>
      <c r="P91" s="14">
        <f t="shared" si="24"/>
        <v>1.2597038896441557</v>
      </c>
      <c r="Q91" s="14">
        <f t="shared" si="25"/>
        <v>-0.10371357396468406</v>
      </c>
      <c r="R91" s="8">
        <f t="shared" si="26"/>
        <v>2.110724058612546</v>
      </c>
      <c r="S91" s="7">
        <f t="shared" si="21"/>
        <v>35</v>
      </c>
      <c r="T91" s="7">
        <f t="shared" si="22"/>
        <v>0</v>
      </c>
      <c r="U91" s="7">
        <f t="shared" si="20"/>
        <v>0.35000000000000003</v>
      </c>
      <c r="Y91" s="8">
        <f t="shared" si="27"/>
        <v>1656.4962411991264</v>
      </c>
      <c r="Z91" s="8">
        <f t="shared" si="28"/>
        <v>1784.8000000000002</v>
      </c>
      <c r="AA91" s="8">
        <f t="shared" si="29"/>
        <v>128.30375880087377</v>
      </c>
    </row>
    <row r="92" spans="14:27" ht="15.75">
      <c r="N92" s="16">
        <v>67</v>
      </c>
      <c r="O92" s="16">
        <f t="shared" si="23"/>
        <v>67</v>
      </c>
      <c r="P92" s="14">
        <f t="shared" si="24"/>
        <v>1.2787903122145217</v>
      </c>
      <c r="Q92" s="14">
        <f t="shared" si="25"/>
        <v>-0.07107386904922985</v>
      </c>
      <c r="R92" s="8">
        <f t="shared" si="26"/>
        <v>2.1190934366594574</v>
      </c>
      <c r="S92" s="7">
        <f t="shared" si="21"/>
        <v>35</v>
      </c>
      <c r="T92" s="7">
        <f t="shared" si="22"/>
        <v>2.5</v>
      </c>
      <c r="U92" s="7">
        <f t="shared" si="20"/>
        <v>0.35000000000000003</v>
      </c>
      <c r="Y92" s="8">
        <f t="shared" si="27"/>
        <v>1663.0645290903424</v>
      </c>
      <c r="Z92" s="8">
        <f t="shared" si="28"/>
        <v>1784.8000000000002</v>
      </c>
      <c r="AA92" s="8">
        <f t="shared" si="29"/>
        <v>121.7354709096578</v>
      </c>
    </row>
    <row r="93" spans="14:27" ht="15.75">
      <c r="N93" s="16">
        <v>68</v>
      </c>
      <c r="O93" s="16">
        <f t="shared" si="23"/>
        <v>68</v>
      </c>
      <c r="P93" s="14">
        <f t="shared" si="24"/>
        <v>1.2978767347848876</v>
      </c>
      <c r="Q93" s="14">
        <f t="shared" si="25"/>
        <v>-0.03843416413377554</v>
      </c>
      <c r="R93" s="8">
        <f t="shared" si="26"/>
        <v>2.1238891148310644</v>
      </c>
      <c r="S93" s="7">
        <f t="shared" si="21"/>
        <v>36</v>
      </c>
      <c r="T93" s="7">
        <f t="shared" si="22"/>
        <v>0</v>
      </c>
      <c r="U93" s="7">
        <f t="shared" si="20"/>
        <v>0.36</v>
      </c>
      <c r="Y93" s="8">
        <f t="shared" si="27"/>
        <v>1666.8281773194194</v>
      </c>
      <c r="Z93" s="8">
        <f t="shared" si="28"/>
        <v>1784.8000000000002</v>
      </c>
      <c r="AA93" s="8">
        <f t="shared" si="29"/>
        <v>117.97182268058077</v>
      </c>
    </row>
    <row r="94" spans="14:27" ht="15.75">
      <c r="N94" s="16">
        <v>69</v>
      </c>
      <c r="O94" s="16">
        <f t="shared" si="23"/>
        <v>69</v>
      </c>
      <c r="P94" s="14">
        <f t="shared" si="24"/>
        <v>1.3169631573552538</v>
      </c>
      <c r="Q94" s="14">
        <f t="shared" si="25"/>
        <v>-0.005794459218320891</v>
      </c>
      <c r="R94" s="8">
        <f t="shared" si="26"/>
        <v>2.1251110931273676</v>
      </c>
      <c r="S94" s="7">
        <f t="shared" si="21"/>
        <v>36</v>
      </c>
      <c r="T94" s="7">
        <f t="shared" si="22"/>
        <v>2.5</v>
      </c>
      <c r="U94" s="7">
        <f t="shared" si="20"/>
        <v>0.36</v>
      </c>
      <c r="Y94" s="8">
        <f t="shared" si="27"/>
        <v>1667.7871858863582</v>
      </c>
      <c r="Z94" s="8">
        <f t="shared" si="28"/>
        <v>1784.8000000000002</v>
      </c>
      <c r="AA94" s="8">
        <f t="shared" si="29"/>
        <v>117.01281411364198</v>
      </c>
    </row>
    <row r="95" spans="14:27" ht="15.75">
      <c r="N95" s="16">
        <v>70</v>
      </c>
      <c r="O95" s="16">
        <f t="shared" si="23"/>
        <v>70</v>
      </c>
      <c r="P95" s="14">
        <f t="shared" si="24"/>
        <v>1.3360495799256198</v>
      </c>
      <c r="Q95" s="14">
        <f t="shared" si="25"/>
        <v>0.026845245697133313</v>
      </c>
      <c r="R95" s="8">
        <f t="shared" si="26"/>
        <v>2.1227593715483666</v>
      </c>
      <c r="S95" s="7">
        <f t="shared" si="21"/>
        <v>37</v>
      </c>
      <c r="T95" s="7">
        <f t="shared" si="22"/>
        <v>0</v>
      </c>
      <c r="U95" s="7">
        <f t="shared" si="20"/>
        <v>0.37</v>
      </c>
      <c r="Y95" s="8">
        <f t="shared" si="27"/>
        <v>1665.9415547911583</v>
      </c>
      <c r="Z95" s="8">
        <f t="shared" si="28"/>
        <v>1784.8000000000002</v>
      </c>
      <c r="AA95" s="8">
        <f t="shared" si="29"/>
        <v>118.85844520884189</v>
      </c>
    </row>
    <row r="96" spans="14:27" ht="15.75">
      <c r="N96" s="16">
        <v>71</v>
      </c>
      <c r="O96" s="16">
        <f t="shared" si="23"/>
        <v>71</v>
      </c>
      <c r="P96" s="14">
        <f t="shared" si="24"/>
        <v>1.3551360024959858</v>
      </c>
      <c r="Q96" s="14">
        <f t="shared" si="25"/>
        <v>0.05948495061258752</v>
      </c>
      <c r="R96" s="8">
        <f t="shared" si="26"/>
        <v>2.11683395009406</v>
      </c>
      <c r="S96" s="7">
        <f t="shared" si="21"/>
        <v>37</v>
      </c>
      <c r="T96" s="7">
        <f t="shared" si="22"/>
        <v>2.5</v>
      </c>
      <c r="U96" s="7">
        <f t="shared" si="20"/>
        <v>0.37</v>
      </c>
      <c r="Y96" s="8">
        <f t="shared" si="27"/>
        <v>1661.2912840338186</v>
      </c>
      <c r="Z96" s="8">
        <f t="shared" si="28"/>
        <v>1784.8000000000002</v>
      </c>
      <c r="AA96" s="8">
        <f t="shared" si="29"/>
        <v>123.50871596618163</v>
      </c>
    </row>
    <row r="97" spans="14:27" ht="15.75">
      <c r="N97" s="16">
        <v>72</v>
      </c>
      <c r="O97" s="16">
        <f t="shared" si="23"/>
        <v>72</v>
      </c>
      <c r="P97" s="14">
        <f t="shared" si="24"/>
        <v>1.3742224250663517</v>
      </c>
      <c r="Q97" s="14">
        <f t="shared" si="25"/>
        <v>0.09212465552804183</v>
      </c>
      <c r="R97" s="8">
        <f t="shared" si="26"/>
        <v>2.1073348287644507</v>
      </c>
      <c r="S97" s="7">
        <f t="shared" si="21"/>
        <v>38</v>
      </c>
      <c r="T97" s="7">
        <f t="shared" si="22"/>
        <v>0</v>
      </c>
      <c r="U97" s="7">
        <f t="shared" si="20"/>
        <v>0.38</v>
      </c>
      <c r="Y97" s="8">
        <f t="shared" si="27"/>
        <v>1653.836373614341</v>
      </c>
      <c r="Z97" s="8">
        <f t="shared" si="28"/>
        <v>1784.8000000000002</v>
      </c>
      <c r="AA97" s="8">
        <f t="shared" si="29"/>
        <v>130.96362638565915</v>
      </c>
    </row>
    <row r="98" spans="14:27" ht="15.75">
      <c r="N98" s="16">
        <v>73</v>
      </c>
      <c r="O98" s="16">
        <f t="shared" si="23"/>
        <v>73</v>
      </c>
      <c r="P98" s="14">
        <f t="shared" si="24"/>
        <v>1.3933088476367177</v>
      </c>
      <c r="Q98" s="14">
        <f t="shared" si="25"/>
        <v>0.12476436044349604</v>
      </c>
      <c r="R98" s="8">
        <f t="shared" si="26"/>
        <v>2.0942620075595366</v>
      </c>
      <c r="S98" s="7">
        <f t="shared" si="21"/>
        <v>38</v>
      </c>
      <c r="T98" s="7">
        <f t="shared" si="22"/>
        <v>2.5</v>
      </c>
      <c r="U98" s="7">
        <f t="shared" si="20"/>
        <v>0.38</v>
      </c>
      <c r="Y98" s="8">
        <f t="shared" si="27"/>
        <v>1643.5768235327246</v>
      </c>
      <c r="Z98" s="8">
        <f t="shared" si="28"/>
        <v>1784.8000000000002</v>
      </c>
      <c r="AA98" s="8">
        <f t="shared" si="29"/>
        <v>141.2231764672756</v>
      </c>
    </row>
    <row r="99" spans="14:27" ht="15.75">
      <c r="N99" s="16">
        <v>74</v>
      </c>
      <c r="O99" s="16">
        <f t="shared" si="23"/>
        <v>74</v>
      </c>
      <c r="P99" s="14">
        <f t="shared" si="24"/>
        <v>1.4123952702070837</v>
      </c>
      <c r="Q99" s="14">
        <f t="shared" si="25"/>
        <v>0.15740406535895035</v>
      </c>
      <c r="R99" s="8">
        <f t="shared" si="26"/>
        <v>2.077615486479318</v>
      </c>
      <c r="S99" s="7">
        <f t="shared" si="21"/>
        <v>39</v>
      </c>
      <c r="T99" s="7">
        <f t="shared" si="22"/>
        <v>0</v>
      </c>
      <c r="U99" s="7">
        <f t="shared" si="20"/>
        <v>0.39</v>
      </c>
      <c r="Y99" s="8">
        <f t="shared" si="27"/>
        <v>1630.5126337889687</v>
      </c>
      <c r="Z99" s="8">
        <f t="shared" si="28"/>
        <v>1784.8000000000002</v>
      </c>
      <c r="AA99" s="8">
        <f t="shared" si="29"/>
        <v>154.28736621103144</v>
      </c>
    </row>
    <row r="100" spans="14:27" ht="15.75">
      <c r="N100" s="16">
        <v>75</v>
      </c>
      <c r="O100" s="16">
        <f t="shared" si="23"/>
        <v>75</v>
      </c>
      <c r="P100" s="14">
        <f t="shared" si="24"/>
        <v>1.4314816927774496</v>
      </c>
      <c r="Q100" s="14">
        <f t="shared" si="25"/>
        <v>0.19004377027440456</v>
      </c>
      <c r="R100" s="8">
        <f t="shared" si="26"/>
        <v>2.057395265523796</v>
      </c>
      <c r="S100" s="7">
        <f t="shared" si="21"/>
        <v>39</v>
      </c>
      <c r="T100" s="7">
        <f t="shared" si="22"/>
        <v>2.5</v>
      </c>
      <c r="U100" s="7">
        <f t="shared" si="20"/>
        <v>0.39</v>
      </c>
      <c r="Y100" s="8">
        <f t="shared" si="27"/>
        <v>1614.6438043830751</v>
      </c>
      <c r="Z100" s="8">
        <f t="shared" si="28"/>
        <v>1784.8000000000002</v>
      </c>
      <c r="AA100" s="8">
        <f t="shared" si="29"/>
        <v>170.15619561692506</v>
      </c>
    </row>
    <row r="101" spans="14:27" ht="15.75">
      <c r="N101" s="16">
        <v>76</v>
      </c>
      <c r="O101" s="16">
        <f t="shared" si="23"/>
        <v>76</v>
      </c>
      <c r="P101" s="14">
        <f t="shared" si="24"/>
        <v>1.4505681153478158</v>
      </c>
      <c r="Q101" s="14">
        <f t="shared" si="25"/>
        <v>0.2226834751898591</v>
      </c>
      <c r="R101" s="8">
        <f t="shared" si="26"/>
        <v>2.0336013446929693</v>
      </c>
      <c r="S101" s="7">
        <f t="shared" si="21"/>
        <v>40</v>
      </c>
      <c r="T101" s="7">
        <f t="shared" si="22"/>
        <v>0</v>
      </c>
      <c r="U101" s="7">
        <f t="shared" si="20"/>
        <v>0.4</v>
      </c>
      <c r="Y101" s="8">
        <f t="shared" si="27"/>
        <v>1595.9703353150423</v>
      </c>
      <c r="Z101" s="8">
        <f t="shared" si="28"/>
        <v>1784.8000000000002</v>
      </c>
      <c r="AA101" s="8">
        <f t="shared" si="29"/>
        <v>188.82966468495783</v>
      </c>
    </row>
    <row r="102" spans="14:27" ht="15.75">
      <c r="N102" s="16">
        <v>77</v>
      </c>
      <c r="O102" s="16">
        <f t="shared" si="23"/>
        <v>77</v>
      </c>
      <c r="P102" s="14">
        <f t="shared" si="24"/>
        <v>1.4696545379181818</v>
      </c>
      <c r="Q102" s="14">
        <f t="shared" si="25"/>
        <v>0.2553231801053134</v>
      </c>
      <c r="R102" s="8">
        <f t="shared" si="26"/>
        <v>2.0062337239868384</v>
      </c>
      <c r="S102" s="7">
        <f t="shared" si="21"/>
        <v>40</v>
      </c>
      <c r="T102" s="7">
        <f t="shared" si="22"/>
        <v>2.5</v>
      </c>
      <c r="U102" s="7">
        <f t="shared" si="20"/>
        <v>0.4</v>
      </c>
      <c r="Y102" s="8">
        <f t="shared" si="27"/>
        <v>1574.4922265848709</v>
      </c>
      <c r="Z102" s="8">
        <f t="shared" si="28"/>
        <v>1784.8000000000002</v>
      </c>
      <c r="AA102" s="8">
        <f t="shared" si="29"/>
        <v>210.3077734151293</v>
      </c>
    </row>
    <row r="103" spans="14:27" ht="15.75">
      <c r="N103" s="16">
        <v>78</v>
      </c>
      <c r="O103" s="16">
        <f t="shared" si="23"/>
        <v>78</v>
      </c>
      <c r="P103" s="14">
        <f t="shared" si="24"/>
        <v>1.4887409604885478</v>
      </c>
      <c r="Q103" s="14">
        <f t="shared" si="25"/>
        <v>0.2879628850207677</v>
      </c>
      <c r="R103" s="8">
        <f t="shared" si="26"/>
        <v>1.9752924034054034</v>
      </c>
      <c r="S103" s="7">
        <f t="shared" si="21"/>
        <v>41</v>
      </c>
      <c r="T103" s="7">
        <f t="shared" si="22"/>
        <v>0</v>
      </c>
      <c r="U103" s="7">
        <f t="shared" si="20"/>
        <v>0.41000000000000003</v>
      </c>
      <c r="Y103" s="8">
        <f t="shared" si="27"/>
        <v>1550.2094781925607</v>
      </c>
      <c r="Z103" s="8">
        <f t="shared" si="28"/>
        <v>1784.8000000000002</v>
      </c>
      <c r="AA103" s="8">
        <f t="shared" si="29"/>
        <v>234.59052180743947</v>
      </c>
    </row>
    <row r="104" spans="14:27" ht="15.75">
      <c r="N104" s="16">
        <v>79</v>
      </c>
      <c r="O104" s="16">
        <f t="shared" si="23"/>
        <v>79</v>
      </c>
      <c r="P104" s="14">
        <f t="shared" si="24"/>
        <v>1.5078273830589137</v>
      </c>
      <c r="Q104" s="14">
        <f t="shared" si="25"/>
        <v>0.3206025899362218</v>
      </c>
      <c r="R104" s="8">
        <f t="shared" si="26"/>
        <v>1.940777382948664</v>
      </c>
      <c r="S104" s="7">
        <f t="shared" si="21"/>
        <v>41</v>
      </c>
      <c r="T104" s="7">
        <f t="shared" si="22"/>
        <v>2.5</v>
      </c>
      <c r="U104" s="7">
        <f t="shared" si="20"/>
        <v>0.41000000000000003</v>
      </c>
      <c r="Y104" s="8">
        <f t="shared" si="27"/>
        <v>1523.1220901381116</v>
      </c>
      <c r="Z104" s="8">
        <f t="shared" si="28"/>
        <v>1784.8000000000002</v>
      </c>
      <c r="AA104" s="8">
        <f t="shared" si="29"/>
        <v>261.67790986188857</v>
      </c>
    </row>
    <row r="105" spans="14:27" ht="15.75">
      <c r="N105" s="16">
        <v>80</v>
      </c>
      <c r="O105" s="16">
        <f t="shared" si="23"/>
        <v>80</v>
      </c>
      <c r="P105" s="14">
        <f t="shared" si="24"/>
        <v>1.5269138056292797</v>
      </c>
      <c r="Q105" s="14">
        <f t="shared" si="25"/>
        <v>0.35324229485167613</v>
      </c>
      <c r="R105" s="8">
        <f t="shared" si="26"/>
        <v>1.902688662616621</v>
      </c>
      <c r="S105" s="7">
        <f t="shared" si="21"/>
        <v>42</v>
      </c>
      <c r="T105" s="7">
        <f t="shared" si="22"/>
        <v>0</v>
      </c>
      <c r="U105" s="7">
        <f t="shared" si="20"/>
        <v>0.42</v>
      </c>
      <c r="Y105" s="8">
        <f t="shared" si="27"/>
        <v>1493.2300624215243</v>
      </c>
      <c r="Z105" s="8">
        <f t="shared" si="28"/>
        <v>1784.8000000000002</v>
      </c>
      <c r="AA105" s="8">
        <f t="shared" si="29"/>
        <v>291.5699375784759</v>
      </c>
    </row>
    <row r="106" spans="14:27" ht="15.75">
      <c r="N106" s="16">
        <v>81</v>
      </c>
      <c r="O106" s="16">
        <f t="shared" si="23"/>
        <v>81</v>
      </c>
      <c r="P106" s="14">
        <f t="shared" si="24"/>
        <v>1.5460002281996457</v>
      </c>
      <c r="Q106" s="14">
        <f t="shared" si="25"/>
        <v>0.38588199976713045</v>
      </c>
      <c r="R106" s="8">
        <f t="shared" si="26"/>
        <v>1.8610262424092734</v>
      </c>
      <c r="S106" s="7">
        <f t="shared" si="21"/>
        <v>42</v>
      </c>
      <c r="T106" s="7">
        <f t="shared" si="22"/>
        <v>2.5</v>
      </c>
      <c r="U106" s="7">
        <f t="shared" si="20"/>
        <v>0.42</v>
      </c>
      <c r="Y106" s="8">
        <f t="shared" si="27"/>
        <v>1460.5333950427978</v>
      </c>
      <c r="Z106" s="8">
        <f t="shared" si="28"/>
        <v>1784.8000000000002</v>
      </c>
      <c r="AA106" s="8">
        <f t="shared" si="29"/>
        <v>324.2666049572024</v>
      </c>
    </row>
    <row r="107" spans="14:27" ht="15.75">
      <c r="N107" s="16">
        <v>82</v>
      </c>
      <c r="O107" s="16">
        <f t="shared" si="23"/>
        <v>82</v>
      </c>
      <c r="P107" s="14">
        <f t="shared" si="24"/>
        <v>1.5650866507700116</v>
      </c>
      <c r="Q107" s="14">
        <f t="shared" si="25"/>
        <v>0.41852170468258454</v>
      </c>
      <c r="R107" s="8">
        <f t="shared" si="26"/>
        <v>1.8157901223266215</v>
      </c>
      <c r="S107" s="7">
        <f t="shared" si="21"/>
        <v>43</v>
      </c>
      <c r="T107" s="7">
        <f t="shared" si="22"/>
        <v>0</v>
      </c>
      <c r="U107" s="7">
        <f t="shared" si="20"/>
        <v>0.43</v>
      </c>
      <c r="Y107" s="8">
        <f t="shared" si="27"/>
        <v>1425.0320880019326</v>
      </c>
      <c r="Z107" s="8">
        <f t="shared" si="28"/>
        <v>1784.8000000000002</v>
      </c>
      <c r="AA107" s="8">
        <f t="shared" si="29"/>
        <v>359.7679119980676</v>
      </c>
    </row>
    <row r="108" spans="14:27" ht="15.75">
      <c r="N108" s="16">
        <v>83</v>
      </c>
      <c r="O108" s="16">
        <f t="shared" si="23"/>
        <v>83</v>
      </c>
      <c r="P108" s="14">
        <f t="shared" si="24"/>
        <v>1.5841730733403776</v>
      </c>
      <c r="Q108" s="14">
        <f t="shared" si="25"/>
        <v>0.45116140959803885</v>
      </c>
      <c r="R108" s="8">
        <f t="shared" si="26"/>
        <v>1.7669803023686663</v>
      </c>
      <c r="S108" s="7">
        <f t="shared" si="21"/>
        <v>43</v>
      </c>
      <c r="T108" s="7">
        <f t="shared" si="22"/>
        <v>2.5</v>
      </c>
      <c r="U108" s="7">
        <f t="shared" si="20"/>
        <v>0.43</v>
      </c>
      <c r="Y108" s="8">
        <f t="shared" si="27"/>
        <v>1386.7261412989294</v>
      </c>
      <c r="Z108" s="8">
        <f t="shared" si="28"/>
        <v>1784.8000000000002</v>
      </c>
      <c r="AA108" s="8">
        <f t="shared" si="29"/>
        <v>398.0738587010708</v>
      </c>
    </row>
    <row r="109" spans="14:27" ht="15.75">
      <c r="N109" s="16">
        <v>84</v>
      </c>
      <c r="O109" s="16">
        <f t="shared" si="23"/>
        <v>84</v>
      </c>
      <c r="P109" s="14">
        <f t="shared" si="24"/>
        <v>1.6032594959107436</v>
      </c>
      <c r="Q109" s="14">
        <f t="shared" si="25"/>
        <v>0.48380111451349317</v>
      </c>
      <c r="R109" s="8">
        <f t="shared" si="26"/>
        <v>1.7145967825354056</v>
      </c>
      <c r="S109" s="7">
        <f t="shared" si="21"/>
        <v>44</v>
      </c>
      <c r="T109" s="7">
        <f t="shared" si="22"/>
        <v>0</v>
      </c>
      <c r="U109" s="7">
        <f t="shared" si="20"/>
        <v>0.44</v>
      </c>
      <c r="Y109" s="8">
        <f t="shared" si="27"/>
        <v>1345.6155549337864</v>
      </c>
      <c r="Z109" s="8">
        <f t="shared" si="28"/>
        <v>1784.8000000000002</v>
      </c>
      <c r="AA109" s="8">
        <f t="shared" si="29"/>
        <v>439.1844450662138</v>
      </c>
    </row>
    <row r="110" spans="14:27" ht="15.75">
      <c r="N110" s="16">
        <v>85</v>
      </c>
      <c r="O110" s="16">
        <f t="shared" si="23"/>
        <v>85</v>
      </c>
      <c r="P110" s="14">
        <f t="shared" si="24"/>
        <v>1.6223459184811098</v>
      </c>
      <c r="Q110" s="14">
        <f t="shared" si="25"/>
        <v>0.5164408194289477</v>
      </c>
      <c r="R110" s="8">
        <f t="shared" si="26"/>
        <v>1.658639562826841</v>
      </c>
      <c r="S110" s="7">
        <f t="shared" si="21"/>
        <v>44</v>
      </c>
      <c r="T110" s="7">
        <f t="shared" si="22"/>
        <v>2.5</v>
      </c>
      <c r="U110" s="7">
        <f t="shared" si="20"/>
        <v>0.44</v>
      </c>
      <c r="Y110" s="8">
        <f t="shared" si="27"/>
        <v>1301.700328906505</v>
      </c>
      <c r="Z110" s="8">
        <f t="shared" si="28"/>
        <v>1784.8000000000002</v>
      </c>
      <c r="AA110" s="8">
        <f t="shared" si="29"/>
        <v>483.0996710934951</v>
      </c>
    </row>
    <row r="111" spans="14:27" ht="15.75">
      <c r="N111" s="16">
        <v>86</v>
      </c>
      <c r="O111" s="16">
        <f t="shared" si="23"/>
        <v>86</v>
      </c>
      <c r="P111" s="14">
        <f t="shared" si="24"/>
        <v>1.6414323410514757</v>
      </c>
      <c r="Q111" s="14">
        <f t="shared" si="25"/>
        <v>0.549080524344402</v>
      </c>
      <c r="R111" s="8">
        <f t="shared" si="26"/>
        <v>1.5991086432429724</v>
      </c>
      <c r="S111" s="7">
        <f t="shared" si="21"/>
        <v>45</v>
      </c>
      <c r="T111" s="7">
        <f t="shared" si="22"/>
        <v>0</v>
      </c>
      <c r="U111" s="7">
        <f t="shared" si="20"/>
        <v>0.45</v>
      </c>
      <c r="Y111" s="8">
        <f t="shared" si="27"/>
        <v>1254.980463217085</v>
      </c>
      <c r="Z111" s="8">
        <f t="shared" si="28"/>
        <v>1784.8000000000002</v>
      </c>
      <c r="AA111" s="8">
        <f t="shared" si="29"/>
        <v>529.8195367829153</v>
      </c>
    </row>
    <row r="112" spans="14:27" ht="15.75">
      <c r="N112" s="16">
        <v>87</v>
      </c>
      <c r="O112" s="16">
        <f t="shared" si="23"/>
        <v>87</v>
      </c>
      <c r="P112" s="14">
        <f t="shared" si="24"/>
        <v>1.6605187636218417</v>
      </c>
      <c r="Q112" s="14">
        <f t="shared" si="25"/>
        <v>0.5817202292598563</v>
      </c>
      <c r="R112" s="8">
        <f t="shared" si="26"/>
        <v>1.5360040237837995</v>
      </c>
      <c r="S112" s="7">
        <f t="shared" si="21"/>
        <v>45</v>
      </c>
      <c r="T112" s="7">
        <f t="shared" si="22"/>
        <v>2.5</v>
      </c>
      <c r="U112" s="7">
        <f t="shared" si="20"/>
        <v>0.45</v>
      </c>
      <c r="Y112" s="8">
        <f t="shared" si="27"/>
        <v>1205.455957865526</v>
      </c>
      <c r="Z112" s="8">
        <f t="shared" si="28"/>
        <v>1784.8000000000002</v>
      </c>
      <c r="AA112" s="8">
        <f t="shared" si="29"/>
        <v>579.3440421344742</v>
      </c>
    </row>
    <row r="113" spans="14:27" ht="15.75">
      <c r="N113" s="16">
        <v>88</v>
      </c>
      <c r="O113" s="16">
        <f t="shared" si="23"/>
        <v>88</v>
      </c>
      <c r="P113" s="14">
        <f t="shared" si="24"/>
        <v>1.6796051861922077</v>
      </c>
      <c r="Q113" s="14">
        <f t="shared" si="25"/>
        <v>0.6143599341753104</v>
      </c>
      <c r="R113" s="8">
        <f t="shared" si="26"/>
        <v>1.4693257044493229</v>
      </c>
      <c r="S113" s="7">
        <f t="shared" si="21"/>
        <v>46</v>
      </c>
      <c r="T113" s="7">
        <f t="shared" si="22"/>
        <v>0</v>
      </c>
      <c r="U113" s="7">
        <f t="shared" si="20"/>
        <v>0.46</v>
      </c>
      <c r="Y113" s="8">
        <f t="shared" si="27"/>
        <v>1153.1268128518286</v>
      </c>
      <c r="Z113" s="8">
        <f t="shared" si="28"/>
        <v>1784.8000000000002</v>
      </c>
      <c r="AA113" s="8">
        <f t="shared" si="29"/>
        <v>631.6731871481716</v>
      </c>
    </row>
    <row r="114" spans="14:27" ht="15.75">
      <c r="N114" s="16">
        <v>89</v>
      </c>
      <c r="O114" s="16">
        <f t="shared" si="23"/>
        <v>89</v>
      </c>
      <c r="P114" s="14">
        <f t="shared" si="24"/>
        <v>1.6986916087625736</v>
      </c>
      <c r="Q114" s="14">
        <f t="shared" si="25"/>
        <v>0.6469996390907647</v>
      </c>
      <c r="R114" s="8">
        <f t="shared" si="26"/>
        <v>1.399073685239542</v>
      </c>
      <c r="S114" s="7">
        <f t="shared" si="21"/>
        <v>46</v>
      </c>
      <c r="T114" s="7">
        <f t="shared" si="22"/>
        <v>2.5</v>
      </c>
      <c r="U114" s="7">
        <f t="shared" si="20"/>
        <v>0.46</v>
      </c>
      <c r="Y114" s="8">
        <f t="shared" si="27"/>
        <v>1097.9930281759928</v>
      </c>
      <c r="Z114" s="8">
        <f t="shared" si="28"/>
        <v>1784.8000000000002</v>
      </c>
      <c r="AA114" s="8">
        <f t="shared" si="29"/>
        <v>686.8069718240074</v>
      </c>
    </row>
    <row r="115" spans="14:27" ht="15.75">
      <c r="N115" s="16">
        <v>90</v>
      </c>
      <c r="O115" s="16">
        <f t="shared" si="23"/>
        <v>90</v>
      </c>
      <c r="P115" s="14">
        <f t="shared" si="24"/>
        <v>1.7177780313329396</v>
      </c>
      <c r="Q115" s="14">
        <f t="shared" si="25"/>
        <v>0.6796393440062191</v>
      </c>
      <c r="R115" s="8">
        <f t="shared" si="26"/>
        <v>1.3252479661544565</v>
      </c>
      <c r="S115" s="7">
        <f t="shared" si="21"/>
        <v>47</v>
      </c>
      <c r="T115" s="7">
        <f t="shared" si="22"/>
        <v>0</v>
      </c>
      <c r="U115" s="7">
        <f t="shared" si="20"/>
        <v>0.47000000000000003</v>
      </c>
      <c r="Y115" s="8">
        <f t="shared" si="27"/>
        <v>1040.0546038380176</v>
      </c>
      <c r="Z115" s="8">
        <f t="shared" si="28"/>
        <v>1784.8000000000002</v>
      </c>
      <c r="AA115" s="8">
        <f t="shared" si="29"/>
        <v>744.7453961619826</v>
      </c>
    </row>
    <row r="116" spans="14:27" ht="15.75">
      <c r="N116" s="16">
        <v>91</v>
      </c>
      <c r="O116" s="16">
        <f t="shared" si="23"/>
        <v>91</v>
      </c>
      <c r="P116" s="14">
        <f t="shared" si="24"/>
        <v>1.7368644539033056</v>
      </c>
      <c r="Q116" s="14">
        <f t="shared" si="25"/>
        <v>0.7122790489216732</v>
      </c>
      <c r="R116" s="8">
        <f t="shared" si="26"/>
        <v>1.2478485471940672</v>
      </c>
      <c r="S116" s="7">
        <f t="shared" si="21"/>
        <v>47</v>
      </c>
      <c r="T116" s="7">
        <f t="shared" si="22"/>
        <v>2.5</v>
      </c>
      <c r="U116" s="7">
        <f t="shared" si="20"/>
        <v>0.47000000000000003</v>
      </c>
      <c r="Y116" s="8">
        <f t="shared" si="27"/>
        <v>979.3115398379041</v>
      </c>
      <c r="Z116" s="8">
        <f t="shared" si="28"/>
        <v>1784.8000000000002</v>
      </c>
      <c r="AA116" s="8">
        <f t="shared" si="29"/>
        <v>805.4884601620961</v>
      </c>
    </row>
    <row r="117" spans="14:27" ht="15.75">
      <c r="N117" s="16">
        <v>92</v>
      </c>
      <c r="O117" s="16">
        <f t="shared" si="23"/>
        <v>92</v>
      </c>
      <c r="P117" s="14">
        <f t="shared" si="24"/>
        <v>1.7559508764736718</v>
      </c>
      <c r="Q117" s="14">
        <f t="shared" si="25"/>
        <v>0.7449187538371279</v>
      </c>
      <c r="R117" s="8">
        <f t="shared" si="26"/>
        <v>1.166875428358372</v>
      </c>
      <c r="S117" s="7">
        <f t="shared" si="21"/>
        <v>48</v>
      </c>
      <c r="T117" s="7">
        <f t="shared" si="22"/>
        <v>0</v>
      </c>
      <c r="U117" s="7">
        <f aca="true" t="shared" si="30" ref="U117:U122">S117*$T$19</f>
        <v>0.48</v>
      </c>
      <c r="Y117" s="8">
        <f t="shared" si="27"/>
        <v>915.7638361756505</v>
      </c>
      <c r="Z117" s="8">
        <f t="shared" si="28"/>
        <v>1784.8000000000002</v>
      </c>
      <c r="AA117" s="8">
        <f t="shared" si="29"/>
        <v>869.0361638243497</v>
      </c>
    </row>
    <row r="118" spans="14:27" ht="15.75">
      <c r="N118" s="16">
        <v>93</v>
      </c>
      <c r="O118" s="16">
        <f t="shared" si="23"/>
        <v>93</v>
      </c>
      <c r="P118" s="14">
        <f t="shared" si="24"/>
        <v>1.7750372990440377</v>
      </c>
      <c r="Q118" s="14">
        <f t="shared" si="25"/>
        <v>0.777558458752582</v>
      </c>
      <c r="R118" s="8">
        <f t="shared" si="26"/>
        <v>1.0823286096473748</v>
      </c>
      <c r="S118" s="7">
        <f t="shared" si="21"/>
        <v>48</v>
      </c>
      <c r="T118" s="7">
        <f t="shared" si="22"/>
        <v>2.5</v>
      </c>
      <c r="U118" s="7">
        <f t="shared" si="30"/>
        <v>0.48</v>
      </c>
      <c r="Y118" s="8">
        <f t="shared" si="27"/>
        <v>849.4114928512598</v>
      </c>
      <c r="Z118" s="8">
        <f t="shared" si="28"/>
        <v>1784.8000000000002</v>
      </c>
      <c r="AA118" s="8">
        <f t="shared" si="29"/>
        <v>935.3885071487404</v>
      </c>
    </row>
    <row r="119" spans="14:27" ht="15.75">
      <c r="N119" s="16">
        <v>94</v>
      </c>
      <c r="O119" s="16">
        <f t="shared" si="23"/>
        <v>94</v>
      </c>
      <c r="P119" s="14">
        <f t="shared" si="24"/>
        <v>1.7941237216144037</v>
      </c>
      <c r="Q119" s="14">
        <f t="shared" si="25"/>
        <v>0.8101981636680363</v>
      </c>
      <c r="R119" s="8">
        <f t="shared" si="26"/>
        <v>0.9942080910610729</v>
      </c>
      <c r="S119" s="7">
        <f>S117+1</f>
        <v>49</v>
      </c>
      <c r="T119" s="7">
        <f>T117</f>
        <v>0</v>
      </c>
      <c r="U119" s="7">
        <f t="shared" si="30"/>
        <v>0.49</v>
      </c>
      <c r="Y119" s="8">
        <f t="shared" si="27"/>
        <v>780.25450986473</v>
      </c>
      <c r="Z119" s="8">
        <f t="shared" si="28"/>
        <v>1784.8000000000002</v>
      </c>
      <c r="AA119" s="8">
        <f t="shared" si="29"/>
        <v>1004.5454901352701</v>
      </c>
    </row>
    <row r="120" spans="14:27" ht="15.75">
      <c r="N120" s="16">
        <v>95</v>
      </c>
      <c r="O120" s="16">
        <f aca="true" t="shared" si="31" ref="O120:O125">MIN(N120,$H$6)</f>
        <v>95</v>
      </c>
      <c r="P120" s="14">
        <f aca="true" t="shared" si="32" ref="P120:P125">O120*$O$22</f>
        <v>1.8132101441847697</v>
      </c>
      <c r="Q120" s="14">
        <f aca="true" t="shared" si="33" ref="Q120:Q125">IF(P120&lt;$O$16,-$O$5+$O$15*P120,-$F$5+$F$3*COS($F$4/180*PI())*(P120-$O$16))</f>
        <v>0.8428378685834906</v>
      </c>
      <c r="R120" s="8">
        <f aca="true" t="shared" si="34" ref="R120:R125">IF(P120&lt;$O$16,$F$2,$F$2+$F$3*SIN($F$4/180*PI())*(P120-$O$16)-0.5*9.81*(P120-$O$16)^2)</f>
        <v>0.9025138725994664</v>
      </c>
      <c r="S120" s="7">
        <f>S118+1</f>
        <v>49</v>
      </c>
      <c r="T120" s="7">
        <f>T118</f>
        <v>2.5</v>
      </c>
      <c r="U120" s="7">
        <f t="shared" si="30"/>
        <v>0.49</v>
      </c>
      <c r="Y120" s="8">
        <f aca="true" t="shared" si="35" ref="Y120:Y125">$C$3*9.81*R120</f>
        <v>708.2928872160612</v>
      </c>
      <c r="Z120" s="8">
        <f aca="true" t="shared" si="36" ref="Z120:Z125">0.5*$C$3*$F$3^2+$C$3*9.81*$W$29</f>
        <v>1784.8000000000002</v>
      </c>
      <c r="AA120" s="8">
        <f aca="true" t="shared" si="37" ref="AA120:AA125">IF(P120&lt;$O$16,0.5*$C$3*$O$15^2,Z120-Y120)</f>
        <v>1076.507112783939</v>
      </c>
    </row>
    <row r="121" spans="14:27" ht="15.75">
      <c r="N121" s="16">
        <v>96</v>
      </c>
      <c r="O121" s="16">
        <f t="shared" si="31"/>
        <v>96</v>
      </c>
      <c r="P121" s="14">
        <f t="shared" si="32"/>
        <v>1.8322965667551356</v>
      </c>
      <c r="Q121" s="14">
        <f t="shared" si="33"/>
        <v>0.8754775734989447</v>
      </c>
      <c r="R121" s="8">
        <f t="shared" si="34"/>
        <v>0.8072459542625561</v>
      </c>
      <c r="S121" s="7">
        <f>S119+1</f>
        <v>50</v>
      </c>
      <c r="T121" s="7">
        <f>T119</f>
        <v>0</v>
      </c>
      <c r="U121" s="7">
        <f t="shared" si="30"/>
        <v>0.5</v>
      </c>
      <c r="Y121" s="8">
        <f t="shared" si="35"/>
        <v>633.526624905254</v>
      </c>
      <c r="Z121" s="8">
        <f t="shared" si="36"/>
        <v>1784.8000000000002</v>
      </c>
      <c r="AA121" s="8">
        <f t="shared" si="37"/>
        <v>1151.2733750947461</v>
      </c>
    </row>
    <row r="122" spans="14:27" ht="15.75">
      <c r="N122" s="16">
        <v>97</v>
      </c>
      <c r="O122" s="16">
        <f t="shared" si="31"/>
        <v>97</v>
      </c>
      <c r="P122" s="14">
        <f t="shared" si="32"/>
        <v>1.8513829893255016</v>
      </c>
      <c r="Q122" s="14">
        <f t="shared" si="33"/>
        <v>0.908117278414399</v>
      </c>
      <c r="R122" s="8">
        <f t="shared" si="34"/>
        <v>0.708404336050342</v>
      </c>
      <c r="S122" s="7">
        <f>S120+1</f>
        <v>50</v>
      </c>
      <c r="T122" s="7">
        <f>T120</f>
        <v>2.5</v>
      </c>
      <c r="U122" s="7">
        <f t="shared" si="30"/>
        <v>0.5</v>
      </c>
      <c r="Y122" s="8">
        <f t="shared" si="35"/>
        <v>555.9557229323085</v>
      </c>
      <c r="Z122" s="8">
        <f t="shared" si="36"/>
        <v>1784.8000000000002</v>
      </c>
      <c r="AA122" s="8">
        <f t="shared" si="37"/>
        <v>1228.8442770676916</v>
      </c>
    </row>
    <row r="123" spans="14:27" ht="15.75">
      <c r="N123" s="16">
        <v>98</v>
      </c>
      <c r="O123" s="16">
        <f t="shared" si="31"/>
        <v>98</v>
      </c>
      <c r="P123" s="14">
        <f t="shared" si="32"/>
        <v>1.8704694118958676</v>
      </c>
      <c r="Q123" s="14">
        <f t="shared" si="33"/>
        <v>0.9407569833298534</v>
      </c>
      <c r="R123" s="8">
        <f t="shared" si="34"/>
        <v>0.6059890179628225</v>
      </c>
      <c r="S123" s="7"/>
      <c r="T123" s="7"/>
      <c r="U123" s="7"/>
      <c r="Y123" s="8">
        <f t="shared" si="35"/>
        <v>475.5801812972231</v>
      </c>
      <c r="Z123" s="8">
        <f t="shared" si="36"/>
        <v>1784.8000000000002</v>
      </c>
      <c r="AA123" s="8">
        <f t="shared" si="37"/>
        <v>1309.219818702777</v>
      </c>
    </row>
    <row r="124" spans="14:27" ht="15.75">
      <c r="N124" s="16">
        <v>99</v>
      </c>
      <c r="O124" s="16">
        <f t="shared" si="31"/>
        <v>99</v>
      </c>
      <c r="P124" s="14">
        <f t="shared" si="32"/>
        <v>1.8895558344662335</v>
      </c>
      <c r="Q124" s="14">
        <f t="shared" si="33"/>
        <v>0.9733966882453077</v>
      </c>
      <c r="R124" s="8">
        <f t="shared" si="34"/>
        <v>0.5</v>
      </c>
      <c r="S124" s="7"/>
      <c r="T124" s="7"/>
      <c r="U124" s="7"/>
      <c r="Y124" s="8">
        <f t="shared" si="35"/>
        <v>392.40000000000003</v>
      </c>
      <c r="Z124" s="8">
        <f t="shared" si="36"/>
        <v>1784.8000000000002</v>
      </c>
      <c r="AA124" s="8">
        <f t="shared" si="37"/>
        <v>1392.4</v>
      </c>
    </row>
    <row r="125" spans="14:27" ht="15.75">
      <c r="N125" s="16">
        <v>100</v>
      </c>
      <c r="O125" s="16">
        <f t="shared" si="31"/>
        <v>100</v>
      </c>
      <c r="P125" s="14">
        <f t="shared" si="32"/>
        <v>1.9086422570365995</v>
      </c>
      <c r="Q125" s="14">
        <f t="shared" si="33"/>
        <v>1.0060363931607617</v>
      </c>
      <c r="R125" s="8">
        <f t="shared" si="34"/>
        <v>0.3904372821618738</v>
      </c>
      <c r="S125" s="7"/>
      <c r="T125" s="7"/>
      <c r="U125" s="7"/>
      <c r="Y125" s="8">
        <f t="shared" si="35"/>
        <v>306.4151790406386</v>
      </c>
      <c r="Z125" s="8">
        <f t="shared" si="36"/>
        <v>1784.8000000000002</v>
      </c>
      <c r="AA125" s="8">
        <f t="shared" si="37"/>
        <v>1478.3848209593616</v>
      </c>
    </row>
    <row r="126" spans="15:21" ht="15.75">
      <c r="O126" s="27"/>
      <c r="S126" s="7"/>
      <c r="T126" s="7"/>
      <c r="U126" s="7"/>
    </row>
    <row r="127" spans="15:21" ht="15.75">
      <c r="O127" s="27"/>
      <c r="S127" s="7"/>
      <c r="T127" s="7"/>
      <c r="U127" s="7"/>
    </row>
    <row r="128" spans="15:21" ht="15.75">
      <c r="O128" s="27"/>
      <c r="S128" s="7"/>
      <c r="T128" s="7"/>
      <c r="U128" s="7"/>
    </row>
    <row r="129" spans="15:21" ht="15.75">
      <c r="O129" s="27"/>
      <c r="S129" s="7"/>
      <c r="T129" s="7"/>
      <c r="U129" s="7"/>
    </row>
    <row r="130" spans="15:21" ht="15.75">
      <c r="O130" s="27"/>
      <c r="S130" s="7"/>
      <c r="T130" s="7"/>
      <c r="U130" s="7"/>
    </row>
    <row r="131" spans="15:21" ht="15.75">
      <c r="O131" s="27"/>
      <c r="S131" s="7"/>
      <c r="T131" s="7"/>
      <c r="U131" s="7"/>
    </row>
    <row r="132" spans="15:21" ht="15.75">
      <c r="O132" s="27"/>
      <c r="S132" s="7"/>
      <c r="T132" s="7"/>
      <c r="U132" s="7"/>
    </row>
    <row r="133" spans="15:21" ht="15.75">
      <c r="O133" s="27"/>
      <c r="S133" s="7"/>
      <c r="T133" s="7"/>
      <c r="U133" s="7"/>
    </row>
    <row r="134" spans="15:21" ht="15.75">
      <c r="O134" s="27"/>
      <c r="S134" s="7"/>
      <c r="T134" s="7"/>
      <c r="U134" s="7"/>
    </row>
    <row r="135" spans="15:21" ht="15.75">
      <c r="O135" s="27"/>
      <c r="S135" s="7"/>
      <c r="T135" s="7"/>
      <c r="U135" s="7"/>
    </row>
    <row r="136" spans="15:21" ht="15.75">
      <c r="O136" s="27"/>
      <c r="S136" s="7"/>
      <c r="T136" s="7"/>
      <c r="U136" s="7"/>
    </row>
    <row r="137" spans="15:21" ht="15.75">
      <c r="O137" s="27"/>
      <c r="S137" s="7"/>
      <c r="T137" s="7"/>
      <c r="U137" s="7"/>
    </row>
    <row r="138" ht="15.75">
      <c r="O138" s="27"/>
    </row>
    <row r="139" ht="15.75">
      <c r="O139" s="27"/>
    </row>
    <row r="140" ht="15.75">
      <c r="O140" s="27"/>
    </row>
    <row r="141" ht="15.75">
      <c r="O141" s="27"/>
    </row>
    <row r="142" ht="15.75">
      <c r="O142" s="27"/>
    </row>
    <row r="143" ht="15.75">
      <c r="O143" s="27"/>
    </row>
    <row r="144" ht="15.75">
      <c r="O144" s="27"/>
    </row>
    <row r="145" ht="15.75">
      <c r="O145" s="27"/>
    </row>
    <row r="146" ht="15.75">
      <c r="O146" s="27"/>
    </row>
    <row r="147" ht="15.75">
      <c r="O147" s="27"/>
    </row>
    <row r="148" ht="15.75">
      <c r="O148" s="27"/>
    </row>
    <row r="149" ht="15.75">
      <c r="O149" s="27"/>
    </row>
    <row r="150" ht="15.75">
      <c r="O150" s="27"/>
    </row>
    <row r="151" ht="15.75">
      <c r="O151" s="27"/>
    </row>
    <row r="152" ht="15.75">
      <c r="O152" s="27"/>
    </row>
    <row r="153" ht="15.75">
      <c r="O153" s="27"/>
    </row>
    <row r="154" ht="15.75">
      <c r="O154" s="27"/>
    </row>
    <row r="155" ht="15.75">
      <c r="O155" s="27"/>
    </row>
    <row r="156" ht="15.75">
      <c r="O156" s="27"/>
    </row>
    <row r="157" ht="15.75">
      <c r="O157" s="27"/>
    </row>
    <row r="158" ht="15.75">
      <c r="O158" s="27"/>
    </row>
    <row r="159" ht="15.75">
      <c r="O159" s="27"/>
    </row>
    <row r="160" ht="15.75">
      <c r="O160" s="27"/>
    </row>
    <row r="161" ht="15.75">
      <c r="O161" s="27"/>
    </row>
    <row r="162" ht="15.75">
      <c r="O162" s="27"/>
    </row>
    <row r="163" ht="15.75">
      <c r="O163" s="27"/>
    </row>
    <row r="164" ht="15.75">
      <c r="O164" s="27"/>
    </row>
    <row r="165" ht="15.75">
      <c r="O165" s="27"/>
    </row>
    <row r="166" ht="15.75">
      <c r="O166" s="2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2007-03-08T17:32:07Z</dcterms:created>
  <dcterms:modified xsi:type="dcterms:W3CDTF">2009-01-20T19:54:32Z</dcterms:modified>
  <cp:category/>
  <cp:version/>
  <cp:contentType/>
  <cp:contentStatus/>
</cp:coreProperties>
</file>