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035" yWindow="65431" windowWidth="9450" windowHeight="6855" activeTab="0"/>
  </bookViews>
  <sheets>
    <sheet name="Menu" sheetId="1" r:id="rId1"/>
    <sheet name="Twee tandwielen" sheetId="2" r:id="rId2"/>
    <sheet name="Twee tandwielen met ketting" sheetId="3" r:id="rId3"/>
    <sheet name="Twee tandwielen en ketting" sheetId="4" state="hidden" r:id="rId4"/>
    <sheet name="Theorie" sheetId="5" state="hidden" r:id="rId5"/>
  </sheets>
  <definedNames/>
  <calcPr fullCalcOnLoad="1"/>
</workbook>
</file>

<file path=xl/sharedStrings.xml><?xml version="1.0" encoding="utf-8"?>
<sst xmlns="http://schemas.openxmlformats.org/spreadsheetml/2006/main" count="365" uniqueCount="176">
  <si>
    <t>vx =</t>
  </si>
  <si>
    <t>m</t>
  </si>
  <si>
    <t>m/s</t>
  </si>
  <si>
    <t>s</t>
  </si>
  <si>
    <t>n</t>
  </si>
  <si>
    <t>x</t>
  </si>
  <si>
    <t>y</t>
  </si>
  <si>
    <t>t</t>
  </si>
  <si>
    <t>g =</t>
  </si>
  <si>
    <t>g=</t>
  </si>
  <si>
    <t>xeind=</t>
  </si>
  <si>
    <t>tx =</t>
  </si>
  <si>
    <t>dt=</t>
  </si>
  <si>
    <t>Baan zien?</t>
  </si>
  <si>
    <t>:</t>
  </si>
  <si>
    <t>Beweging vertragen met een factor</t>
  </si>
  <si>
    <t>Bij een horizontale worp voert een voorwerp twee bewegingen tegelijk uit:</t>
  </si>
  <si>
    <t>1.</t>
  </si>
  <si>
    <t>Een eenparige beweging in de horizontale richting:</t>
  </si>
  <si>
    <t>vx is de constante snelheid in de x-richting</t>
  </si>
  <si>
    <r>
      <t>x(t) = v</t>
    </r>
    <r>
      <rPr>
        <b/>
        <vertAlign val="subscript"/>
        <sz val="12"/>
        <color indexed="12"/>
        <rFont val="Times New Roman"/>
        <family val="1"/>
      </rPr>
      <t>x</t>
    </r>
    <r>
      <rPr>
        <b/>
        <sz val="12"/>
        <color indexed="12"/>
        <rFont val="Times New Roman"/>
        <family val="1"/>
      </rPr>
      <t xml:space="preserve"> . t</t>
    </r>
  </si>
  <si>
    <t>2.</t>
  </si>
  <si>
    <r>
      <t xml:space="preserve">y(t) = </t>
    </r>
    <r>
      <rPr>
        <b/>
        <sz val="10"/>
        <color indexed="12"/>
        <rFont val="Times New Roman"/>
        <family val="1"/>
      </rPr>
      <t>1/2</t>
    </r>
    <r>
      <rPr>
        <b/>
        <sz val="12"/>
        <color indexed="12"/>
        <rFont val="Times New Roman"/>
        <family val="1"/>
      </rPr>
      <t>gt</t>
    </r>
    <r>
      <rPr>
        <b/>
        <vertAlign val="superscript"/>
        <sz val="12"/>
        <color indexed="12"/>
        <rFont val="Times New Roman"/>
        <family val="1"/>
      </rPr>
      <t>2</t>
    </r>
  </si>
  <si>
    <t>De horizontale worp zonder luchtweerstand</t>
  </si>
  <si>
    <t>Een eenparig versnelde beweging in de verticale richting:</t>
  </si>
  <si>
    <r>
      <t>g is de valversnelling (9,81 ms</t>
    </r>
    <r>
      <rPr>
        <b/>
        <vertAlign val="superscript"/>
        <sz val="12"/>
        <color indexed="17"/>
        <rFont val="Times New Roman"/>
        <family val="1"/>
      </rPr>
      <t>-2</t>
    </r>
    <r>
      <rPr>
        <b/>
        <sz val="12"/>
        <color indexed="17"/>
        <rFont val="Times New Roman"/>
        <family val="1"/>
      </rPr>
      <t>)</t>
    </r>
  </si>
  <si>
    <t>x(t)</t>
  </si>
  <si>
    <t>y(t)</t>
  </si>
  <si>
    <t>3.</t>
  </si>
  <si>
    <t>Voorbeeld:</t>
  </si>
  <si>
    <t>Als de bal op de grond komt is y(t) = 5,0</t>
  </si>
  <si>
    <r>
      <t>y(t) = 1/2gt</t>
    </r>
    <r>
      <rPr>
        <b/>
        <vertAlign val="superscript"/>
        <sz val="12"/>
        <color indexed="12"/>
        <rFont val="Times New Roman"/>
        <family val="1"/>
      </rPr>
      <t>2</t>
    </r>
  </si>
  <si>
    <r>
      <t>5,0 = 1/2.9,81.t</t>
    </r>
    <r>
      <rPr>
        <b/>
        <vertAlign val="superscript"/>
        <sz val="12"/>
        <color indexed="17"/>
        <rFont val="Times New Roman"/>
        <family val="1"/>
      </rPr>
      <t>2</t>
    </r>
  </si>
  <si>
    <t>t =  1,00 s</t>
  </si>
  <si>
    <t>Hoe ver is de bal dan gegaan in horizontale richting:</t>
  </si>
  <si>
    <t>Waar komt de bal op de grond?</t>
  </si>
  <si>
    <t>-</t>
  </si>
  <si>
    <t>Hieronder zie je de x(t) - t grafiek en de y(t) - grafiek</t>
  </si>
  <si>
    <t>De baan van de bal is hier onder getekend.</t>
  </si>
  <si>
    <t>Een hokje in de tekening is 0,5 m</t>
  </si>
  <si>
    <t>Je gooit een bal weg vanaf 5,0 m hoogte met een horizontale snelheid van</t>
  </si>
  <si>
    <t>Theorie:</t>
  </si>
  <si>
    <r>
      <t>Controleer met de schuifbalk dat v</t>
    </r>
    <r>
      <rPr>
        <b/>
        <u val="single"/>
        <vertAlign val="subscript"/>
        <sz val="12"/>
        <color indexed="10"/>
        <rFont val="Times New Roman"/>
        <family val="1"/>
      </rPr>
      <t>x</t>
    </r>
    <r>
      <rPr>
        <b/>
        <u val="single"/>
        <sz val="12"/>
        <color indexed="10"/>
        <rFont val="Times New Roman"/>
        <family val="1"/>
      </rPr>
      <t xml:space="preserve"> geen invloed heeft op de valtijd en dus ook niet op de y(t) - t grafiek!!!!!!!!!</t>
    </r>
  </si>
  <si>
    <t xml:space="preserve">x(t) = </t>
  </si>
  <si>
    <t>. 1,00 =</t>
  </si>
  <si>
    <t>Menu</t>
  </si>
  <si>
    <t>Straal</t>
  </si>
  <si>
    <t>massa</t>
  </si>
  <si>
    <t>kg</t>
  </si>
  <si>
    <t>r =</t>
  </si>
  <si>
    <t>f =</t>
  </si>
  <si>
    <t>Tekenkader</t>
  </si>
  <si>
    <t>cirkelbaan</t>
  </si>
  <si>
    <t xml:space="preserve">dhoek = </t>
  </si>
  <si>
    <r>
      <t>vA = v</t>
    </r>
    <r>
      <rPr>
        <vertAlign val="subscript"/>
        <sz val="12"/>
        <rFont val="Times New Roman"/>
        <family val="1"/>
      </rPr>
      <t>onder</t>
    </r>
  </si>
  <si>
    <t>hoek (los v.d. wand) =</t>
  </si>
  <si>
    <t>rad</t>
  </si>
  <si>
    <t>t (los van de wand):</t>
  </si>
  <si>
    <t>los van de wand? Ja = 1</t>
  </si>
  <si>
    <t>tijdvertraging:</t>
  </si>
  <si>
    <t>loslaatpunt</t>
  </si>
  <si>
    <r>
      <t>w</t>
    </r>
    <r>
      <rPr>
        <sz val="12"/>
        <rFont val="Times New Roman"/>
        <family val="1"/>
      </rPr>
      <t>=</t>
    </r>
  </si>
  <si>
    <t>Snelheid</t>
  </si>
  <si>
    <t>(vertraagd)</t>
  </si>
  <si>
    <t>onvertraagd</t>
  </si>
  <si>
    <t>midden bodem</t>
  </si>
  <si>
    <t>watermassa:</t>
  </si>
  <si>
    <t>neerstorttijd op de grond:</t>
  </si>
  <si>
    <t>neerstorttijd vertraagd</t>
  </si>
  <si>
    <t>neerstort x =</t>
  </si>
  <si>
    <t>laagste punt: y=</t>
  </si>
  <si>
    <t>koordlengte = r -</t>
  </si>
  <si>
    <t>Start beweging</t>
  </si>
  <si>
    <t>T =</t>
  </si>
  <si>
    <t>a.g.tijmensen</t>
  </si>
  <si>
    <t>pijllengte =</t>
  </si>
  <si>
    <t>pijlpuntlengte</t>
  </si>
  <si>
    <t>pijlpuntbreedte</t>
  </si>
  <si>
    <r>
      <t xml:space="preserve">hoek </t>
    </r>
    <r>
      <rPr>
        <b/>
        <sz val="12"/>
        <rFont val="Symbol"/>
        <family val="1"/>
      </rPr>
      <t>f</t>
    </r>
  </si>
  <si>
    <t>Fz = m*g =</t>
  </si>
  <si>
    <t>Schaal: 1N =</t>
  </si>
  <si>
    <t>Fmpz =</t>
  </si>
  <si>
    <t>pijlpuntschuine</t>
  </si>
  <si>
    <t>halve tophoek =</t>
  </si>
  <si>
    <t>Femmer =</t>
  </si>
  <si>
    <t>richtingshoek =</t>
  </si>
  <si>
    <t>parallellogram</t>
  </si>
  <si>
    <t>Krachten en par. Zien? Ja = 1</t>
  </si>
  <si>
    <t>Nee: bijtelling x =</t>
  </si>
  <si>
    <t>t&gt;tlos van wand, Ja: bijtelling =</t>
  </si>
  <si>
    <t>Stopwatch</t>
  </si>
  <si>
    <t>tekentijd</t>
  </si>
  <si>
    <t xml:space="preserve">grond op y = </t>
  </si>
  <si>
    <t>Fn op de grond</t>
  </si>
  <si>
    <t>Baan zien? Ja = 1</t>
  </si>
  <si>
    <t>= tekentijd</t>
  </si>
  <si>
    <t>Een bakje met water wordt aan een stang eenparig rondgeslingerd.</t>
  </si>
  <si>
    <r>
      <t>Krachten op het water zien? (F</t>
    </r>
    <r>
      <rPr>
        <b/>
        <vertAlign val="subscript"/>
        <sz val="12"/>
        <color indexed="17"/>
        <rFont val="Times New Roman"/>
        <family val="1"/>
      </rPr>
      <t>bakje</t>
    </r>
    <r>
      <rPr>
        <b/>
        <sz val="12"/>
        <color indexed="48"/>
        <rFont val="Times New Roman"/>
        <family val="1"/>
      </rPr>
      <t>, F</t>
    </r>
    <r>
      <rPr>
        <b/>
        <vertAlign val="subscript"/>
        <sz val="12"/>
        <color indexed="48"/>
        <rFont val="Times New Roman"/>
        <family val="1"/>
      </rPr>
      <t xml:space="preserve">z, </t>
    </r>
    <r>
      <rPr>
        <b/>
        <sz val="12"/>
        <color indexed="10"/>
        <rFont val="Times New Roman"/>
        <family val="1"/>
      </rPr>
      <t>F</t>
    </r>
    <r>
      <rPr>
        <b/>
        <vertAlign val="subscript"/>
        <sz val="12"/>
        <color indexed="10"/>
        <rFont val="Times New Roman"/>
        <family val="1"/>
      </rPr>
      <t>r</t>
    </r>
    <r>
      <rPr>
        <b/>
        <sz val="12"/>
        <color indexed="48"/>
        <rFont val="Times New Roman"/>
        <family val="1"/>
      </rPr>
      <t xml:space="preserve"> en </t>
    </r>
    <r>
      <rPr>
        <b/>
        <sz val="12"/>
        <color indexed="16"/>
        <rFont val="Times New Roman"/>
        <family val="1"/>
      </rPr>
      <t>F</t>
    </r>
    <r>
      <rPr>
        <b/>
        <vertAlign val="subscript"/>
        <sz val="12"/>
        <color indexed="16"/>
        <rFont val="Times New Roman"/>
        <family val="1"/>
      </rPr>
      <t>n</t>
    </r>
    <r>
      <rPr>
        <b/>
        <sz val="12"/>
        <color indexed="48"/>
        <rFont val="Times New Roman"/>
        <family val="1"/>
      </rPr>
      <t>)</t>
    </r>
  </si>
  <si>
    <t>- Vliegt de auto uit de bocht?</t>
  </si>
  <si>
    <t>- De krachten op de auto kunnen zichtbaar gemaakt worden.</t>
  </si>
  <si>
    <t>- Een bakje met water wordt rondgeslingerd in een vertikaal vlak.</t>
  </si>
  <si>
    <t>- Als de snelheid van de emmer te klein is valt het water er uit.</t>
  </si>
  <si>
    <t>- De krachten op het water kunnen zichtbaar gemaakt worden.</t>
  </si>
  <si>
    <t>- De baan van het water kan zichtbaar gemaakt worden.</t>
  </si>
  <si>
    <t>- De baan kan zichtbaar gemaakt worden.</t>
  </si>
  <si>
    <t>- De straal, snelheid, massa en wrijvings coëfficiënt kunnen ingesteld worden.</t>
  </si>
  <si>
    <t>r</t>
  </si>
  <si>
    <t>Tandwielen</t>
  </si>
  <si>
    <t>as:</t>
  </si>
  <si>
    <t>cirkel</t>
  </si>
  <si>
    <t>dhoek =</t>
  </si>
  <si>
    <t>tandhoogte =</t>
  </si>
  <si>
    <t>tandbasis =</t>
  </si>
  <si>
    <t>n1 =</t>
  </si>
  <si>
    <t>f1 =</t>
  </si>
  <si>
    <t>hoek</t>
  </si>
  <si>
    <t>n2 =</t>
  </si>
  <si>
    <t>f2 =</t>
  </si>
  <si>
    <t>Twee tandwielen</t>
  </si>
  <si>
    <t>Tandwiel z1 =</t>
  </si>
  <si>
    <t>Tandwiel z2</t>
  </si>
  <si>
    <t>d1 =</t>
  </si>
  <si>
    <t>d2 =</t>
  </si>
  <si>
    <t>r1</t>
  </si>
  <si>
    <t>r2</t>
  </si>
  <si>
    <t>Tandwiel 1</t>
  </si>
  <si>
    <t>speling tussen beide tandwielen</t>
  </si>
  <si>
    <t>Tandwiel 2</t>
  </si>
  <si>
    <t>cm</t>
  </si>
  <si>
    <r>
      <t>aantal tanden z</t>
    </r>
    <r>
      <rPr>
        <b/>
        <vertAlign val="subscript"/>
        <sz val="14"/>
        <color indexed="10"/>
        <rFont val="Times New Roman"/>
        <family val="1"/>
      </rPr>
      <t>1</t>
    </r>
  </si>
  <si>
    <r>
      <t>diameter d</t>
    </r>
    <r>
      <rPr>
        <b/>
        <vertAlign val="subscript"/>
        <sz val="14"/>
        <color indexed="10"/>
        <rFont val="Times New Roman"/>
        <family val="1"/>
      </rPr>
      <t>1</t>
    </r>
  </si>
  <si>
    <r>
      <t>toerental n</t>
    </r>
    <r>
      <rPr>
        <b/>
        <vertAlign val="subscript"/>
        <sz val="14"/>
        <color indexed="10"/>
        <rFont val="Times New Roman"/>
        <family val="1"/>
      </rPr>
      <t>1</t>
    </r>
  </si>
  <si>
    <r>
      <t>min</t>
    </r>
    <r>
      <rPr>
        <b/>
        <vertAlign val="superscript"/>
        <sz val="14"/>
        <color indexed="10"/>
        <rFont val="Times New Roman"/>
        <family val="1"/>
      </rPr>
      <t>-1</t>
    </r>
  </si>
  <si>
    <r>
      <t>frequentie f</t>
    </r>
    <r>
      <rPr>
        <b/>
        <vertAlign val="subscript"/>
        <sz val="14"/>
        <color indexed="10"/>
        <rFont val="Times New Roman"/>
        <family val="1"/>
      </rPr>
      <t>1</t>
    </r>
  </si>
  <si>
    <r>
      <t>s</t>
    </r>
    <r>
      <rPr>
        <b/>
        <vertAlign val="superscript"/>
        <sz val="14"/>
        <color indexed="10"/>
        <rFont val="Times New Roman"/>
        <family val="1"/>
      </rPr>
      <t>-1</t>
    </r>
  </si>
  <si>
    <r>
      <t>aantal tanden z</t>
    </r>
    <r>
      <rPr>
        <b/>
        <vertAlign val="subscript"/>
        <sz val="14"/>
        <color indexed="48"/>
        <rFont val="Times New Roman"/>
        <family val="1"/>
      </rPr>
      <t>2</t>
    </r>
  </si>
  <si>
    <r>
      <t>diameter d</t>
    </r>
    <r>
      <rPr>
        <b/>
        <vertAlign val="subscript"/>
        <sz val="14"/>
        <color indexed="48"/>
        <rFont val="Times New Roman"/>
        <family val="1"/>
      </rPr>
      <t>2</t>
    </r>
  </si>
  <si>
    <r>
      <t>toerental n</t>
    </r>
    <r>
      <rPr>
        <b/>
        <vertAlign val="subscript"/>
        <sz val="14"/>
        <color indexed="48"/>
        <rFont val="Times New Roman"/>
        <family val="1"/>
      </rPr>
      <t>2</t>
    </r>
  </si>
  <si>
    <r>
      <t>min</t>
    </r>
    <r>
      <rPr>
        <b/>
        <vertAlign val="superscript"/>
        <sz val="14"/>
        <color indexed="48"/>
        <rFont val="Times New Roman"/>
        <family val="1"/>
      </rPr>
      <t>-1</t>
    </r>
  </si>
  <si>
    <r>
      <t>frequentie f</t>
    </r>
    <r>
      <rPr>
        <b/>
        <vertAlign val="subscript"/>
        <sz val="14"/>
        <color indexed="48"/>
        <rFont val="Times New Roman"/>
        <family val="1"/>
      </rPr>
      <t>2</t>
    </r>
  </si>
  <si>
    <t>Tijdvertraging</t>
  </si>
  <si>
    <t>spaak 1 lengte =</t>
  </si>
  <si>
    <t>spaak 2</t>
  </si>
  <si>
    <t>spaak 3</t>
  </si>
  <si>
    <t>Twee tandwielen met ketting</t>
  </si>
  <si>
    <t>Tijd stoppen na</t>
  </si>
  <si>
    <t>T1 =</t>
  </si>
  <si>
    <t>T2 =</t>
  </si>
  <si>
    <t>Tekentijd</t>
  </si>
  <si>
    <t>n*T1</t>
  </si>
  <si>
    <t>vertraagd</t>
  </si>
  <si>
    <t>normaal</t>
  </si>
  <si>
    <r>
      <t>T</t>
    </r>
    <r>
      <rPr>
        <b/>
        <vertAlign val="subscript"/>
        <sz val="14"/>
        <color indexed="10"/>
        <rFont val="Times New Roman"/>
        <family val="1"/>
      </rPr>
      <t>1</t>
    </r>
  </si>
  <si>
    <r>
      <t>s</t>
    </r>
    <r>
      <rPr>
        <b/>
        <vertAlign val="superscript"/>
        <sz val="14"/>
        <color indexed="48"/>
        <rFont val="Times New Roman"/>
        <family val="1"/>
      </rPr>
      <t>-1</t>
    </r>
  </si>
  <si>
    <t>03022009</t>
  </si>
  <si>
    <r>
      <t xml:space="preserve">Hoek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straal met ketting:</t>
    </r>
  </si>
  <si>
    <t>Ketting BC boven</t>
  </si>
  <si>
    <t>Bx</t>
  </si>
  <si>
    <t>By</t>
  </si>
  <si>
    <t>Cx</t>
  </si>
  <si>
    <t>Cy</t>
  </si>
  <si>
    <t>Ketting onder</t>
  </si>
  <si>
    <t>B'x</t>
  </si>
  <si>
    <t>B'y</t>
  </si>
  <si>
    <t>C'x</t>
  </si>
  <si>
    <t>C'y</t>
  </si>
  <si>
    <t>ketting over tandwiel links</t>
  </si>
  <si>
    <t>straal ketting = r +</t>
  </si>
  <si>
    <t>starthoek =</t>
  </si>
  <si>
    <t>R1 =</t>
  </si>
  <si>
    <t>hoek =</t>
  </si>
  <si>
    <t>BC =</t>
  </si>
  <si>
    <t>aantal schakels =</t>
  </si>
  <si>
    <r>
      <t>omlooptijd T</t>
    </r>
    <r>
      <rPr>
        <b/>
        <vertAlign val="subscript"/>
        <sz val="14"/>
        <color indexed="10"/>
        <rFont val="Times New Roman"/>
        <family val="1"/>
      </rPr>
      <t>1</t>
    </r>
  </si>
  <si>
    <r>
      <t>omlooptijd T</t>
    </r>
    <r>
      <rPr>
        <b/>
        <vertAlign val="subscript"/>
        <sz val="14"/>
        <color indexed="48"/>
        <rFont val="Times New Roman"/>
        <family val="1"/>
      </rPr>
      <t>2</t>
    </r>
  </si>
  <si>
    <t>Nog even en de ketting draait ook mee . . .</t>
  </si>
</sst>
</file>

<file path=xl/styles.xml><?xml version="1.0" encoding="utf-8"?>
<styleSheet xmlns="http://schemas.openxmlformats.org/spreadsheetml/2006/main">
  <numFmts count="4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0.00000"/>
    <numFmt numFmtId="172" formatCode="0.0000"/>
    <numFmt numFmtId="173" formatCode="0.000"/>
    <numFmt numFmtId="174" formatCode="_-* #,##0.0_-;_-* #,##0.0\-;_-* &quot;-&quot;??_-;_-@_-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E+00"/>
    <numFmt numFmtId="181" formatCode="0.000E+00"/>
    <numFmt numFmtId="182" formatCode="0.0E+00"/>
    <numFmt numFmtId="183" formatCode="0E+00"/>
    <numFmt numFmtId="184" formatCode="0.E+00"/>
    <numFmt numFmtId="185" formatCode="0.0.E+00"/>
    <numFmt numFmtId="186" formatCode="0.00.E+00"/>
    <numFmt numFmtId="187" formatCode="0.00000E+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#,##0.0"/>
    <numFmt numFmtId="196" formatCode="&quot;€&quot;\ #,##0.0_-"/>
    <numFmt numFmtId="197" formatCode="_-* #,##0.000_-;_-* #,##0.000\-;_-* &quot;-&quot;??_-;_-@_-"/>
    <numFmt numFmtId="198" formatCode="_-* #,##0_-;_-* #,##0\-;_-* &quot;-&quot;??_-;_-@_-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color indexed="4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vertAlign val="subscript"/>
      <sz val="12"/>
      <color indexed="12"/>
      <name val="Times New Roman"/>
      <family val="1"/>
    </font>
    <font>
      <b/>
      <vertAlign val="superscript"/>
      <sz val="12"/>
      <color indexed="17"/>
      <name val="Times New Roman"/>
      <family val="1"/>
    </font>
    <font>
      <b/>
      <sz val="10"/>
      <color indexed="12"/>
      <name val="Times New Roman"/>
      <family val="1"/>
    </font>
    <font>
      <b/>
      <vertAlign val="superscript"/>
      <sz val="12"/>
      <color indexed="12"/>
      <name val="Times New Roman"/>
      <family val="1"/>
    </font>
    <font>
      <b/>
      <sz val="11.75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vertAlign val="subscript"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Comic Sans MS"/>
      <family val="4"/>
    </font>
    <font>
      <sz val="12"/>
      <color indexed="10"/>
      <name val="Comic Sans MS"/>
      <family val="4"/>
    </font>
    <font>
      <b/>
      <i/>
      <sz val="9"/>
      <color indexed="58"/>
      <name val="Comic Sans MS"/>
      <family val="4"/>
    </font>
    <font>
      <sz val="12"/>
      <color indexed="17"/>
      <name val="Comic Sans MS"/>
      <family val="4"/>
    </font>
    <font>
      <u val="single"/>
      <sz val="12"/>
      <color indexed="17"/>
      <name val="Comic Sans MS"/>
      <family val="4"/>
    </font>
    <font>
      <vertAlign val="subscript"/>
      <sz val="12"/>
      <name val="Times New Roman"/>
      <family val="1"/>
    </font>
    <font>
      <sz val="12"/>
      <name val="Symbol"/>
      <family val="1"/>
    </font>
    <font>
      <b/>
      <vertAlign val="subscript"/>
      <sz val="12"/>
      <color indexed="48"/>
      <name val="Times New Roman"/>
      <family val="1"/>
    </font>
    <font>
      <sz val="20"/>
      <color indexed="10"/>
      <name val="Comic Sans MS"/>
      <family val="4"/>
    </font>
    <font>
      <sz val="9"/>
      <color indexed="17"/>
      <name val="Comic Sans MS"/>
      <family val="4"/>
    </font>
    <font>
      <b/>
      <sz val="12"/>
      <color indexed="8"/>
      <name val="Times New Roman"/>
      <family val="1"/>
    </font>
    <font>
      <b/>
      <sz val="12"/>
      <name val="Symbol"/>
      <family val="1"/>
    </font>
    <font>
      <b/>
      <vertAlign val="subscript"/>
      <sz val="12"/>
      <color indexed="10"/>
      <name val="Times New Roman"/>
      <family val="1"/>
    </font>
    <font>
      <b/>
      <vertAlign val="subscript"/>
      <sz val="12"/>
      <color indexed="17"/>
      <name val="Times New Roman"/>
      <family val="1"/>
    </font>
    <font>
      <b/>
      <sz val="12"/>
      <name val="Courier New"/>
      <family val="3"/>
    </font>
    <font>
      <b/>
      <sz val="14"/>
      <name val="Courier New"/>
      <family val="3"/>
    </font>
    <font>
      <b/>
      <sz val="12"/>
      <color indexed="16"/>
      <name val="Times New Roman"/>
      <family val="1"/>
    </font>
    <font>
      <b/>
      <vertAlign val="subscript"/>
      <sz val="12"/>
      <color indexed="16"/>
      <name val="Times New Roman"/>
      <family val="1"/>
    </font>
    <font>
      <b/>
      <u val="single"/>
      <sz val="12"/>
      <color indexed="48"/>
      <name val="Times New Roman"/>
      <family val="1"/>
    </font>
    <font>
      <sz val="12"/>
      <color indexed="4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sz val="14"/>
      <color indexed="48"/>
      <name val="Times New Roman"/>
      <family val="1"/>
    </font>
    <font>
      <b/>
      <u val="single"/>
      <sz val="14"/>
      <color indexed="48"/>
      <name val="Times New Roman"/>
      <family val="1"/>
    </font>
    <font>
      <b/>
      <vertAlign val="subscript"/>
      <sz val="14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14"/>
      <name val="Times New Roman"/>
      <family val="1"/>
    </font>
    <font>
      <b/>
      <sz val="14"/>
      <color indexed="48"/>
      <name val="Times New Roman"/>
      <family val="1"/>
    </font>
    <font>
      <b/>
      <vertAlign val="subscript"/>
      <sz val="14"/>
      <color indexed="48"/>
      <name val="Times New Roman"/>
      <family val="1"/>
    </font>
    <font>
      <b/>
      <vertAlign val="superscript"/>
      <sz val="14"/>
      <color indexed="4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hair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17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/>
      <protection hidden="1" locked="0"/>
    </xf>
    <xf numFmtId="0" fontId="3" fillId="2" borderId="3" xfId="0" applyFont="1" applyFill="1" applyBorder="1" applyAlignment="1" applyProtection="1">
      <alignment/>
      <protection hidden="1" locked="0"/>
    </xf>
    <xf numFmtId="0" fontId="3" fillId="2" borderId="4" xfId="0" applyFont="1" applyFill="1" applyBorder="1" applyAlignment="1" applyProtection="1">
      <alignment/>
      <protection hidden="1" locked="0"/>
    </xf>
    <xf numFmtId="0" fontId="3" fillId="2" borderId="0" xfId="0" applyFont="1" applyFill="1" applyBorder="1" applyAlignment="1" applyProtection="1">
      <alignment/>
      <protection hidden="1" locked="0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3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2" fontId="1" fillId="2" borderId="0" xfId="0" applyNumberFormat="1" applyFont="1" applyFill="1" applyAlignment="1">
      <alignment horizontal="left"/>
    </xf>
    <xf numFmtId="0" fontId="1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1" fillId="2" borderId="10" xfId="0" applyFont="1" applyFill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1" fillId="2" borderId="1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/>
      <protection locked="0"/>
    </xf>
    <xf numFmtId="0" fontId="2" fillId="2" borderId="10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2" fontId="6" fillId="2" borderId="0" xfId="17" applyNumberFormat="1" applyFont="1" applyFill="1" applyAlignment="1">
      <alignment horizontal="left"/>
    </xf>
    <xf numFmtId="2" fontId="6" fillId="2" borderId="0" xfId="0" applyNumberFormat="1" applyFont="1" applyFill="1" applyAlignment="1">
      <alignment/>
    </xf>
    <xf numFmtId="0" fontId="6" fillId="2" borderId="0" xfId="0" applyFont="1" applyFill="1" applyAlignment="1" quotePrefix="1">
      <alignment/>
    </xf>
    <xf numFmtId="170" fontId="6" fillId="2" borderId="0" xfId="0" applyNumberFormat="1" applyFont="1" applyFill="1" applyAlignment="1">
      <alignment horizontal="left"/>
    </xf>
    <xf numFmtId="0" fontId="5" fillId="2" borderId="14" xfId="0" applyFont="1" applyFill="1" applyBorder="1" applyAlignment="1">
      <alignment/>
    </xf>
    <xf numFmtId="0" fontId="12" fillId="2" borderId="0" xfId="0" applyFont="1" applyFill="1" applyAlignment="1">
      <alignment/>
    </xf>
    <xf numFmtId="170" fontId="4" fillId="2" borderId="0" xfId="0" applyNumberFormat="1" applyFont="1" applyFill="1" applyAlignment="1">
      <alignment horizontal="center"/>
    </xf>
    <xf numFmtId="0" fontId="4" fillId="2" borderId="15" xfId="0" applyFont="1" applyFill="1" applyBorder="1" applyAlignment="1">
      <alignment/>
    </xf>
    <xf numFmtId="0" fontId="13" fillId="2" borderId="0" xfId="0" applyFont="1" applyFill="1" applyAlignment="1">
      <alignment/>
    </xf>
    <xf numFmtId="170" fontId="4" fillId="2" borderId="15" xfId="0" applyNumberFormat="1" applyFont="1" applyFill="1" applyBorder="1" applyAlignment="1" applyProtection="1">
      <alignment horizontal="center"/>
      <protection locked="0"/>
    </xf>
    <xf numFmtId="170" fontId="6" fillId="2" borderId="0" xfId="0" applyNumberFormat="1" applyFont="1" applyFill="1" applyAlignment="1">
      <alignment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19" fillId="2" borderId="0" xfId="0" applyFont="1" applyFill="1" applyAlignment="1" quotePrefix="1">
      <alignment horizontal="right"/>
    </xf>
    <xf numFmtId="2" fontId="3" fillId="2" borderId="10" xfId="0" applyNumberFormat="1" applyFont="1" applyFill="1" applyBorder="1" applyAlignment="1" applyProtection="1">
      <alignment horizontal="right"/>
      <protection hidden="1" locked="0"/>
    </xf>
    <xf numFmtId="173" fontId="3" fillId="2" borderId="0" xfId="0" applyNumberFormat="1" applyFont="1" applyFill="1" applyAlignment="1">
      <alignment/>
    </xf>
    <xf numFmtId="2" fontId="1" fillId="2" borderId="16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2" fontId="1" fillId="2" borderId="7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left"/>
    </xf>
    <xf numFmtId="1" fontId="1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0" fontId="1" fillId="2" borderId="5" xfId="0" applyFont="1" applyFill="1" applyBorder="1" applyAlignment="1">
      <alignment/>
    </xf>
    <xf numFmtId="0" fontId="22" fillId="2" borderId="0" xfId="0" applyFont="1" applyFill="1" applyAlignment="1">
      <alignment/>
    </xf>
    <xf numFmtId="170" fontId="1" fillId="2" borderId="7" xfId="0" applyNumberFormat="1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173" fontId="1" fillId="2" borderId="0" xfId="0" applyNumberFormat="1" applyFont="1" applyFill="1" applyAlignment="1">
      <alignment/>
    </xf>
    <xf numFmtId="170" fontId="1" fillId="2" borderId="8" xfId="0" applyNumberFormat="1" applyFont="1" applyFill="1" applyBorder="1" applyAlignment="1">
      <alignment horizontal="left"/>
    </xf>
    <xf numFmtId="2" fontId="4" fillId="2" borderId="0" xfId="0" applyNumberFormat="1" applyFont="1" applyFill="1" applyAlignment="1" applyProtection="1">
      <alignment/>
      <protection hidden="1"/>
    </xf>
    <xf numFmtId="2" fontId="1" fillId="2" borderId="17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2" fontId="1" fillId="2" borderId="18" xfId="0" applyNumberFormat="1" applyFont="1" applyFill="1" applyBorder="1" applyAlignment="1">
      <alignment horizontal="left"/>
    </xf>
    <xf numFmtId="0" fontId="1" fillId="2" borderId="17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2" fontId="3" fillId="2" borderId="0" xfId="0" applyNumberFormat="1" applyFont="1" applyFill="1" applyBorder="1" applyAlignment="1" applyProtection="1">
      <alignment horizontal="right"/>
      <protection hidden="1" locked="0"/>
    </xf>
    <xf numFmtId="0" fontId="1" fillId="2" borderId="0" xfId="0" applyFont="1" applyFill="1" applyAlignment="1">
      <alignment horizontal="right"/>
    </xf>
    <xf numFmtId="0" fontId="0" fillId="2" borderId="0" xfId="0" applyFill="1" applyBorder="1" applyAlignment="1">
      <alignment/>
    </xf>
    <xf numFmtId="0" fontId="24" fillId="2" borderId="0" xfId="0" applyFont="1" applyFill="1" applyAlignment="1">
      <alignment/>
    </xf>
    <xf numFmtId="0" fontId="25" fillId="2" borderId="0" xfId="0" applyFont="1" applyFill="1" applyAlignment="1">
      <alignment/>
    </xf>
    <xf numFmtId="170" fontId="1" fillId="2" borderId="0" xfId="0" applyNumberFormat="1" applyFont="1" applyFill="1" applyAlignment="1">
      <alignment/>
    </xf>
    <xf numFmtId="170" fontId="1" fillId="2" borderId="16" xfId="0" applyNumberFormat="1" applyFont="1" applyFill="1" applyBorder="1" applyAlignment="1">
      <alignment horizontal="left"/>
    </xf>
    <xf numFmtId="170" fontId="1" fillId="2" borderId="9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173" fontId="1" fillId="2" borderId="7" xfId="0" applyNumberFormat="1" applyFont="1" applyFill="1" applyBorder="1" applyAlignment="1">
      <alignment horizontal="left"/>
    </xf>
    <xf numFmtId="0" fontId="26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173" fontId="3" fillId="2" borderId="8" xfId="0" applyNumberFormat="1" applyFont="1" applyFill="1" applyBorder="1" applyAlignment="1">
      <alignment/>
    </xf>
    <xf numFmtId="2" fontId="3" fillId="2" borderId="8" xfId="0" applyNumberFormat="1" applyFont="1" applyFill="1" applyBorder="1" applyAlignment="1">
      <alignment/>
    </xf>
    <xf numFmtId="2" fontId="1" fillId="2" borderId="8" xfId="0" applyNumberFormat="1" applyFont="1" applyFill="1" applyBorder="1" applyAlignment="1">
      <alignment/>
    </xf>
    <xf numFmtId="173" fontId="3" fillId="2" borderId="7" xfId="0" applyNumberFormat="1" applyFont="1" applyFill="1" applyBorder="1" applyAlignment="1">
      <alignment horizontal="left"/>
    </xf>
    <xf numFmtId="2" fontId="3" fillId="2" borderId="8" xfId="0" applyNumberFormat="1" applyFont="1" applyFill="1" applyBorder="1" applyAlignment="1">
      <alignment horizontal="left"/>
    </xf>
    <xf numFmtId="173" fontId="1" fillId="2" borderId="8" xfId="0" applyNumberFormat="1" applyFont="1" applyFill="1" applyBorder="1" applyAlignment="1">
      <alignment/>
    </xf>
    <xf numFmtId="0" fontId="6" fillId="2" borderId="10" xfId="0" applyFont="1" applyFill="1" applyBorder="1" applyAlignment="1">
      <alignment/>
    </xf>
    <xf numFmtId="173" fontId="3" fillId="2" borderId="8" xfId="0" applyNumberFormat="1" applyFont="1" applyFill="1" applyBorder="1" applyAlignment="1">
      <alignment horizontal="left"/>
    </xf>
    <xf numFmtId="173" fontId="3" fillId="2" borderId="16" xfId="0" applyNumberFormat="1" applyFont="1" applyFill="1" applyBorder="1" applyAlignment="1">
      <alignment horizontal="left"/>
    </xf>
    <xf numFmtId="2" fontId="3" fillId="2" borderId="9" xfId="0" applyNumberFormat="1" applyFont="1" applyFill="1" applyBorder="1" applyAlignment="1">
      <alignment horizontal="left"/>
    </xf>
    <xf numFmtId="173" fontId="5" fillId="2" borderId="6" xfId="0" applyNumberFormat="1" applyFont="1" applyFill="1" applyBorder="1" applyAlignment="1">
      <alignment/>
    </xf>
    <xf numFmtId="0" fontId="26" fillId="2" borderId="6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2" fontId="6" fillId="2" borderId="6" xfId="0" applyNumberFormat="1" applyFont="1" applyFill="1" applyBorder="1" applyAlignment="1">
      <alignment/>
    </xf>
    <xf numFmtId="0" fontId="1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 locked="0"/>
    </xf>
    <xf numFmtId="2" fontId="30" fillId="3" borderId="19" xfId="0" applyNumberFormat="1" applyFont="1" applyFill="1" applyBorder="1" applyAlignment="1">
      <alignment horizontal="center"/>
    </xf>
    <xf numFmtId="0" fontId="31" fillId="3" borderId="20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173" fontId="1" fillId="2" borderId="16" xfId="0" applyNumberFormat="1" applyFont="1" applyFill="1" applyBorder="1" applyAlignment="1">
      <alignment horizontal="left"/>
    </xf>
    <xf numFmtId="0" fontId="1" fillId="2" borderId="0" xfId="0" applyFont="1" applyFill="1" applyBorder="1" applyAlignment="1" applyProtection="1">
      <alignment/>
      <protection/>
    </xf>
    <xf numFmtId="0" fontId="3" fillId="2" borderId="16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34" fillId="2" borderId="0" xfId="0" applyFont="1" applyFill="1" applyAlignment="1">
      <alignment/>
    </xf>
    <xf numFmtId="0" fontId="35" fillId="2" borderId="0" xfId="0" applyFont="1" applyFill="1" applyAlignment="1">
      <alignment/>
    </xf>
    <xf numFmtId="173" fontId="2" fillId="2" borderId="10" xfId="0" applyNumberFormat="1" applyFont="1" applyFill="1" applyBorder="1" applyAlignment="1" applyProtection="1">
      <alignment horizontal="right"/>
      <protection hidden="1"/>
    </xf>
    <xf numFmtId="2" fontId="2" fillId="2" borderId="11" xfId="0" applyNumberFormat="1" applyFont="1" applyFill="1" applyBorder="1" applyAlignment="1" applyProtection="1">
      <alignment horizontal="right"/>
      <protection hidden="1"/>
    </xf>
    <xf numFmtId="0" fontId="2" fillId="2" borderId="11" xfId="0" applyFont="1" applyFill="1" applyBorder="1" applyAlignment="1">
      <alignment/>
    </xf>
    <xf numFmtId="170" fontId="2" fillId="2" borderId="10" xfId="0" applyNumberFormat="1" applyFont="1" applyFill="1" applyBorder="1" applyAlignment="1" applyProtection="1">
      <alignment horizontal="right"/>
      <protection hidden="1" locked="0"/>
    </xf>
    <xf numFmtId="170" fontId="2" fillId="2" borderId="11" xfId="0" applyNumberFormat="1" applyFont="1" applyFill="1" applyBorder="1" applyAlignment="1" applyProtection="1">
      <alignment horizontal="right"/>
      <protection hidden="1" locked="0"/>
    </xf>
    <xf numFmtId="173" fontId="2" fillId="2" borderId="10" xfId="0" applyNumberFormat="1" applyFont="1" applyFill="1" applyBorder="1" applyAlignment="1" applyProtection="1">
      <alignment horizontal="right"/>
      <protection hidden="1" locked="0"/>
    </xf>
    <xf numFmtId="2" fontId="4" fillId="2" borderId="0" xfId="0" applyNumberFormat="1" applyFont="1" applyFill="1" applyAlignment="1" applyProtection="1">
      <alignment horizontal="center"/>
      <protection hidden="1"/>
    </xf>
    <xf numFmtId="0" fontId="0" fillId="2" borderId="11" xfId="0" applyFill="1" applyBorder="1" applyAlignment="1">
      <alignment/>
    </xf>
    <xf numFmtId="0" fontId="3" fillId="2" borderId="1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 quotePrefix="1">
      <alignment/>
    </xf>
    <xf numFmtId="1" fontId="12" fillId="2" borderId="10" xfId="0" applyNumberFormat="1" applyFont="1" applyFill="1" applyBorder="1" applyAlignment="1" applyProtection="1">
      <alignment horizontal="right"/>
      <protection hidden="1"/>
    </xf>
    <xf numFmtId="2" fontId="12" fillId="2" borderId="11" xfId="0" applyNumberFormat="1" applyFont="1" applyFill="1" applyBorder="1" applyAlignment="1" applyProtection="1">
      <alignment horizontal="right"/>
      <protection hidden="1"/>
    </xf>
    <xf numFmtId="0" fontId="41" fillId="2" borderId="0" xfId="0" applyFont="1" applyFill="1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43" fillId="2" borderId="0" xfId="0" applyFont="1" applyFill="1" applyAlignment="1" applyProtection="1">
      <alignment/>
      <protection hidden="1"/>
    </xf>
    <xf numFmtId="0" fontId="46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3" fillId="2" borderId="2" xfId="0" applyFont="1" applyFill="1" applyBorder="1" applyAlignment="1" applyProtection="1">
      <alignment/>
      <protection hidden="1"/>
    </xf>
    <xf numFmtId="170" fontId="1" fillId="2" borderId="0" xfId="0" applyNumberFormat="1" applyFont="1" applyFill="1" applyAlignment="1" applyProtection="1">
      <alignment/>
      <protection hidden="1"/>
    </xf>
    <xf numFmtId="0" fontId="1" fillId="2" borderId="0" xfId="0" applyFont="1" applyFill="1" applyAlignment="1" applyProtection="1" quotePrefix="1">
      <alignment/>
      <protection hidden="1"/>
    </xf>
    <xf numFmtId="0" fontId="3" fillId="2" borderId="0" xfId="0" applyFont="1" applyFill="1" applyAlignment="1" applyProtection="1">
      <alignment/>
      <protection hidden="1"/>
    </xf>
    <xf numFmtId="2" fontId="3" fillId="2" borderId="0" xfId="0" applyNumberFormat="1" applyFont="1" applyFill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12" fillId="2" borderId="10" xfId="0" applyFont="1" applyFill="1" applyBorder="1" applyAlignment="1" applyProtection="1">
      <alignment/>
      <protection hidden="1"/>
    </xf>
    <xf numFmtId="0" fontId="1" fillId="2" borderId="10" xfId="0" applyFont="1" applyFill="1" applyBorder="1" applyAlignment="1" applyProtection="1">
      <alignment/>
      <protection hidden="1"/>
    </xf>
    <xf numFmtId="0" fontId="47" fillId="2" borderId="10" xfId="0" applyFont="1" applyFill="1" applyBorder="1" applyAlignment="1" applyProtection="1">
      <alignment/>
      <protection hidden="1"/>
    </xf>
    <xf numFmtId="1" fontId="47" fillId="2" borderId="10" xfId="0" applyNumberFormat="1" applyFont="1" applyFill="1" applyBorder="1" applyAlignment="1" applyProtection="1">
      <alignment horizontal="center"/>
      <protection hidden="1"/>
    </xf>
    <xf numFmtId="0" fontId="46" fillId="2" borderId="10" xfId="0" applyFont="1" applyFill="1" applyBorder="1" applyAlignment="1" applyProtection="1">
      <alignment/>
      <protection hidden="1"/>
    </xf>
    <xf numFmtId="2" fontId="3" fillId="2" borderId="0" xfId="0" applyNumberFormat="1" applyFont="1" applyFill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/>
      <protection hidden="1"/>
    </xf>
    <xf numFmtId="0" fontId="12" fillId="2" borderId="11" xfId="0" applyFont="1" applyFill="1" applyBorder="1" applyAlignment="1" applyProtection="1">
      <alignment/>
      <protection hidden="1"/>
    </xf>
    <xf numFmtId="0" fontId="47" fillId="2" borderId="0" xfId="0" applyFont="1" applyFill="1" applyBorder="1" applyAlignment="1" applyProtection="1">
      <alignment/>
      <protection hidden="1"/>
    </xf>
    <xf numFmtId="0" fontId="47" fillId="2" borderId="0" xfId="0" applyFont="1" applyFill="1" applyBorder="1" applyAlignment="1" applyProtection="1">
      <alignment horizontal="center"/>
      <protection hidden="1"/>
    </xf>
    <xf numFmtId="0" fontId="46" fillId="2" borderId="0" xfId="0" applyFont="1" applyFill="1" applyBorder="1" applyAlignment="1" applyProtection="1">
      <alignment/>
      <protection hidden="1"/>
    </xf>
    <xf numFmtId="170" fontId="12" fillId="2" borderId="10" xfId="0" applyNumberFormat="1" applyFont="1" applyFill="1" applyBorder="1" applyAlignment="1" applyProtection="1">
      <alignment horizontal="right"/>
      <protection hidden="1"/>
    </xf>
    <xf numFmtId="170" fontId="47" fillId="2" borderId="10" xfId="0" applyNumberFormat="1" applyFont="1" applyFill="1" applyBorder="1" applyAlignment="1" applyProtection="1">
      <alignment horizontal="center"/>
      <protection hidden="1"/>
    </xf>
    <xf numFmtId="170" fontId="12" fillId="2" borderId="11" xfId="0" applyNumberFormat="1" applyFont="1" applyFill="1" applyBorder="1" applyAlignment="1" applyProtection="1">
      <alignment horizontal="right"/>
      <protection hidden="1"/>
    </xf>
    <xf numFmtId="0" fontId="47" fillId="2" borderId="10" xfId="0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/>
      <protection hidden="1"/>
    </xf>
    <xf numFmtId="173" fontId="1" fillId="2" borderId="0" xfId="0" applyNumberFormat="1" applyFont="1" applyFill="1" applyAlignment="1" applyProtection="1">
      <alignment/>
      <protection hidden="1"/>
    </xf>
    <xf numFmtId="0" fontId="47" fillId="2" borderId="13" xfId="0" applyFont="1" applyFill="1" applyBorder="1" applyAlignment="1" applyProtection="1">
      <alignment/>
      <protection hidden="1"/>
    </xf>
    <xf numFmtId="0" fontId="47" fillId="2" borderId="13" xfId="0" applyFont="1" applyFill="1" applyBorder="1" applyAlignment="1" applyProtection="1">
      <alignment horizontal="center"/>
      <protection hidden="1"/>
    </xf>
    <xf numFmtId="0" fontId="42" fillId="2" borderId="1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/>
      <protection hidden="1"/>
    </xf>
    <xf numFmtId="2" fontId="3" fillId="2" borderId="10" xfId="0" applyNumberFormat="1" applyFont="1" applyFill="1" applyBorder="1" applyAlignment="1" applyProtection="1">
      <alignment horizontal="right"/>
      <protection hidden="1"/>
    </xf>
    <xf numFmtId="2" fontId="30" fillId="3" borderId="19" xfId="0" applyNumberFormat="1" applyFont="1" applyFill="1" applyBorder="1" applyAlignment="1" applyProtection="1">
      <alignment horizontal="center"/>
      <protection hidden="1"/>
    </xf>
    <xf numFmtId="0" fontId="31" fillId="3" borderId="20" xfId="0" applyFont="1" applyFill="1" applyBorder="1" applyAlignment="1" applyProtection="1">
      <alignment horizontal="center"/>
      <protection hidden="1"/>
    </xf>
    <xf numFmtId="0" fontId="47" fillId="2" borderId="10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2" fillId="2" borderId="10" xfId="0" applyFont="1" applyFill="1" applyBorder="1" applyAlignment="1" applyProtection="1">
      <alignment/>
      <protection hidden="1"/>
    </xf>
    <xf numFmtId="0" fontId="1" fillId="2" borderId="5" xfId="0" applyFont="1" applyFill="1" applyBorder="1" applyAlignment="1" applyProtection="1">
      <alignment/>
      <protection hidden="1"/>
    </xf>
    <xf numFmtId="0" fontId="1" fillId="2" borderId="6" xfId="0" applyFont="1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/>
      <protection hidden="1"/>
    </xf>
    <xf numFmtId="0" fontId="39" fillId="2" borderId="17" xfId="0" applyFont="1" applyFill="1" applyBorder="1" applyAlignment="1" applyProtection="1">
      <alignment horizontal="left"/>
      <protection hidden="1"/>
    </xf>
    <xf numFmtId="0" fontId="35" fillId="2" borderId="17" xfId="0" applyFont="1" applyFill="1" applyBorder="1" applyAlignment="1" applyProtection="1">
      <alignment/>
      <protection hidden="1"/>
    </xf>
    <xf numFmtId="173" fontId="35" fillId="2" borderId="6" xfId="0" applyNumberFormat="1" applyFont="1" applyFill="1" applyBorder="1" applyAlignment="1" applyProtection="1">
      <alignment/>
      <protection hidden="1"/>
    </xf>
    <xf numFmtId="0" fontId="4" fillId="2" borderId="7" xfId="0" applyFont="1" applyFill="1" applyBorder="1" applyAlignment="1" applyProtection="1">
      <alignment/>
      <protection hidden="1"/>
    </xf>
    <xf numFmtId="0" fontId="39" fillId="2" borderId="0" xfId="0" applyFont="1" applyFill="1" applyBorder="1" applyAlignment="1" applyProtection="1">
      <alignment horizontal="left"/>
      <protection hidden="1"/>
    </xf>
    <xf numFmtId="0" fontId="39" fillId="2" borderId="0" xfId="0" applyFont="1" applyFill="1" applyBorder="1" applyAlignment="1" applyProtection="1">
      <alignment/>
      <protection hidden="1"/>
    </xf>
    <xf numFmtId="0" fontId="35" fillId="2" borderId="7" xfId="0" applyFont="1" applyFill="1" applyBorder="1" applyAlignment="1" applyProtection="1">
      <alignment/>
      <protection hidden="1"/>
    </xf>
    <xf numFmtId="1" fontId="35" fillId="2" borderId="0" xfId="0" applyNumberFormat="1" applyFont="1" applyFill="1" applyBorder="1" applyAlignment="1" applyProtection="1">
      <alignment horizontal="left"/>
      <protection hidden="1"/>
    </xf>
    <xf numFmtId="0" fontId="35" fillId="2" borderId="0" xfId="0" applyFont="1" applyFill="1" applyBorder="1" applyAlignment="1" applyProtection="1">
      <alignment/>
      <protection hidden="1"/>
    </xf>
    <xf numFmtId="173" fontId="35" fillId="2" borderId="8" xfId="0" applyNumberFormat="1" applyFont="1" applyFill="1" applyBorder="1" applyAlignment="1" applyProtection="1">
      <alignment/>
      <protection hidden="1"/>
    </xf>
    <xf numFmtId="2" fontId="39" fillId="2" borderId="0" xfId="0" applyNumberFormat="1" applyFont="1" applyFill="1" applyBorder="1" applyAlignment="1" applyProtection="1">
      <alignment horizontal="left"/>
      <protection hidden="1"/>
    </xf>
    <xf numFmtId="2" fontId="35" fillId="2" borderId="0" xfId="0" applyNumberFormat="1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/>
      <protection hidden="1"/>
    </xf>
    <xf numFmtId="170" fontId="35" fillId="2" borderId="0" xfId="0" applyNumberFormat="1" applyFont="1" applyFill="1" applyBorder="1" applyAlignment="1" applyProtection="1">
      <alignment horizontal="left"/>
      <protection hidden="1"/>
    </xf>
    <xf numFmtId="2" fontId="6" fillId="2" borderId="0" xfId="0" applyNumberFormat="1" applyFont="1" applyFill="1" applyAlignment="1" applyProtection="1">
      <alignment/>
      <protection hidden="1"/>
    </xf>
    <xf numFmtId="0" fontId="39" fillId="2" borderId="7" xfId="0" applyFont="1" applyFill="1" applyBorder="1" applyAlignment="1" applyProtection="1">
      <alignment/>
      <protection hidden="1"/>
    </xf>
    <xf numFmtId="2" fontId="3" fillId="2" borderId="0" xfId="0" applyNumberFormat="1" applyFont="1" applyFill="1" applyAlignment="1" applyProtection="1">
      <alignment/>
      <protection hidden="1"/>
    </xf>
    <xf numFmtId="170" fontId="39" fillId="2" borderId="7" xfId="0" applyNumberFormat="1" applyFont="1" applyFill="1" applyBorder="1" applyAlignment="1" applyProtection="1">
      <alignment horizontal="left"/>
      <protection hidden="1"/>
    </xf>
    <xf numFmtId="170" fontId="39" fillId="2" borderId="0" xfId="0" applyNumberFormat="1" applyFont="1" applyFill="1" applyBorder="1" applyAlignment="1" applyProtection="1">
      <alignment horizontal="left"/>
      <protection hidden="1"/>
    </xf>
    <xf numFmtId="170" fontId="35" fillId="2" borderId="7" xfId="0" applyNumberFormat="1" applyFont="1" applyFill="1" applyBorder="1" applyAlignment="1" applyProtection="1">
      <alignment horizontal="left"/>
      <protection hidden="1"/>
    </xf>
    <xf numFmtId="0" fontId="35" fillId="2" borderId="0" xfId="0" applyFont="1" applyFill="1" applyBorder="1" applyAlignment="1" applyProtection="1">
      <alignment horizontal="left"/>
      <protection hidden="1"/>
    </xf>
    <xf numFmtId="0" fontId="4" fillId="2" borderId="7" xfId="0" applyFont="1" applyFill="1" applyBorder="1" applyAlignment="1" applyProtection="1">
      <alignment horizontal="left"/>
      <protection hidden="1"/>
    </xf>
    <xf numFmtId="173" fontId="4" fillId="2" borderId="0" xfId="0" applyNumberFormat="1" applyFont="1" applyFill="1" applyBorder="1" applyAlignment="1" applyProtection="1">
      <alignment horizontal="left"/>
      <protection hidden="1"/>
    </xf>
    <xf numFmtId="2" fontId="4" fillId="2" borderId="0" xfId="0" applyNumberFormat="1" applyFont="1" applyFill="1" applyBorder="1" applyAlignment="1" applyProtection="1">
      <alignment horizontal="left"/>
      <protection hidden="1"/>
    </xf>
    <xf numFmtId="170" fontId="39" fillId="2" borderId="0" xfId="0" applyNumberFormat="1" applyFont="1" applyFill="1" applyBorder="1" applyAlignment="1" applyProtection="1">
      <alignment/>
      <protection hidden="1"/>
    </xf>
    <xf numFmtId="170" fontId="35" fillId="2" borderId="7" xfId="0" applyNumberFormat="1" applyFont="1" applyFill="1" applyBorder="1" applyAlignment="1" applyProtection="1">
      <alignment/>
      <protection hidden="1"/>
    </xf>
    <xf numFmtId="2" fontId="40" fillId="2" borderId="0" xfId="0" applyNumberFormat="1" applyFont="1" applyFill="1" applyBorder="1" applyAlignment="1" applyProtection="1">
      <alignment horizontal="left"/>
      <protection hidden="1"/>
    </xf>
    <xf numFmtId="0" fontId="39" fillId="2" borderId="7" xfId="0" applyFont="1" applyFill="1" applyBorder="1" applyAlignment="1" applyProtection="1">
      <alignment horizontal="left"/>
      <protection hidden="1"/>
    </xf>
    <xf numFmtId="0" fontId="35" fillId="2" borderId="7" xfId="0" applyFont="1" applyFill="1" applyBorder="1" applyAlignment="1" applyProtection="1">
      <alignment horizontal="left"/>
      <protection hidden="1"/>
    </xf>
    <xf numFmtId="173" fontId="35" fillId="2" borderId="8" xfId="0" applyNumberFormat="1" applyFont="1" applyFill="1" applyBorder="1" applyAlignment="1" applyProtection="1">
      <alignment horizontal="left"/>
      <protection hidden="1"/>
    </xf>
    <xf numFmtId="1" fontId="39" fillId="2" borderId="7" xfId="0" applyNumberFormat="1" applyFont="1" applyFill="1" applyBorder="1" applyAlignment="1" applyProtection="1">
      <alignment horizontal="left"/>
      <protection hidden="1"/>
    </xf>
    <xf numFmtId="2" fontId="35" fillId="2" borderId="8" xfId="0" applyNumberFormat="1" applyFont="1" applyFill="1" applyBorder="1" applyAlignment="1" applyProtection="1">
      <alignment horizontal="left"/>
      <protection hidden="1"/>
    </xf>
    <xf numFmtId="1" fontId="39" fillId="2" borderId="16" xfId="0" applyNumberFormat="1" applyFont="1" applyFill="1" applyBorder="1" applyAlignment="1" applyProtection="1">
      <alignment horizontal="left"/>
      <protection hidden="1"/>
    </xf>
    <xf numFmtId="2" fontId="39" fillId="2" borderId="18" xfId="0" applyNumberFormat="1" applyFont="1" applyFill="1" applyBorder="1" applyAlignment="1" applyProtection="1">
      <alignment horizontal="left"/>
      <protection hidden="1"/>
    </xf>
    <xf numFmtId="0" fontId="39" fillId="2" borderId="5" xfId="0" applyFont="1" applyFill="1" applyBorder="1" applyAlignment="1" applyProtection="1">
      <alignment horizontal="left"/>
      <protection hidden="1"/>
    </xf>
    <xf numFmtId="170" fontId="39" fillId="2" borderId="17" xfId="0" applyNumberFormat="1" applyFont="1" applyFill="1" applyBorder="1" applyAlignment="1" applyProtection="1">
      <alignment horizontal="left"/>
      <protection hidden="1"/>
    </xf>
    <xf numFmtId="0" fontId="35" fillId="2" borderId="5" xfId="0" applyFont="1" applyFill="1" applyBorder="1" applyAlignment="1" applyProtection="1">
      <alignment horizontal="left"/>
      <protection hidden="1"/>
    </xf>
    <xf numFmtId="170" fontId="35" fillId="2" borderId="17" xfId="0" applyNumberFormat="1" applyFont="1" applyFill="1" applyBorder="1" applyAlignment="1" applyProtection="1">
      <alignment horizontal="left"/>
      <protection hidden="1"/>
    </xf>
    <xf numFmtId="0" fontId="35" fillId="2" borderId="17" xfId="0" applyFont="1" applyFill="1" applyBorder="1" applyAlignment="1" applyProtection="1">
      <alignment horizontal="left"/>
      <protection hidden="1"/>
    </xf>
    <xf numFmtId="0" fontId="35" fillId="2" borderId="6" xfId="0" applyFont="1" applyFill="1" applyBorder="1" applyAlignment="1" applyProtection="1">
      <alignment horizontal="left"/>
      <protection hidden="1"/>
    </xf>
    <xf numFmtId="0" fontId="35" fillId="2" borderId="8" xfId="0" applyFont="1" applyFill="1" applyBorder="1" applyAlignment="1" applyProtection="1">
      <alignment horizontal="left"/>
      <protection hidden="1"/>
    </xf>
    <xf numFmtId="170" fontId="39" fillId="2" borderId="16" xfId="0" applyNumberFormat="1" applyFont="1" applyFill="1" applyBorder="1" applyAlignment="1" applyProtection="1">
      <alignment horizontal="left"/>
      <protection hidden="1"/>
    </xf>
    <xf numFmtId="170" fontId="39" fillId="2" borderId="18" xfId="0" applyNumberFormat="1" applyFont="1" applyFill="1" applyBorder="1" applyAlignment="1" applyProtection="1">
      <alignment horizontal="left"/>
      <protection hidden="1"/>
    </xf>
    <xf numFmtId="0" fontId="39" fillId="2" borderId="18" xfId="0" applyFont="1" applyFill="1" applyBorder="1" applyAlignment="1" applyProtection="1">
      <alignment horizontal="left"/>
      <protection hidden="1"/>
    </xf>
    <xf numFmtId="170" fontId="35" fillId="2" borderId="16" xfId="0" applyNumberFormat="1" applyFont="1" applyFill="1" applyBorder="1" applyAlignment="1" applyProtection="1">
      <alignment horizontal="left"/>
      <protection hidden="1"/>
    </xf>
    <xf numFmtId="170" fontId="35" fillId="2" borderId="18" xfId="0" applyNumberFormat="1" applyFont="1" applyFill="1" applyBorder="1" applyAlignment="1" applyProtection="1">
      <alignment horizontal="left"/>
      <protection hidden="1"/>
    </xf>
    <xf numFmtId="0" fontId="35" fillId="2" borderId="18" xfId="0" applyFont="1" applyFill="1" applyBorder="1" applyAlignment="1" applyProtection="1">
      <alignment horizontal="left"/>
      <protection hidden="1"/>
    </xf>
    <xf numFmtId="0" fontId="35" fillId="2" borderId="9" xfId="0" applyFont="1" applyFill="1" applyBorder="1" applyAlignment="1" applyProtection="1">
      <alignment horizontal="left"/>
      <protection hidden="1"/>
    </xf>
    <xf numFmtId="0" fontId="3" fillId="2" borderId="16" xfId="0" applyFont="1" applyFill="1" applyBorder="1" applyAlignment="1" applyProtection="1">
      <alignment/>
      <protection hidden="1" locked="0"/>
    </xf>
    <xf numFmtId="1" fontId="4" fillId="2" borderId="17" xfId="0" applyNumberFormat="1" applyFont="1" applyFill="1" applyBorder="1" applyAlignment="1" applyProtection="1">
      <alignment horizontal="left"/>
      <protection hidden="1" locked="0"/>
    </xf>
    <xf numFmtId="1" fontId="4" fillId="2" borderId="0" xfId="0" applyNumberFormat="1" applyFont="1" applyFill="1" applyBorder="1" applyAlignment="1" applyProtection="1">
      <alignment horizontal="left"/>
      <protection hidden="1" locked="0"/>
    </xf>
    <xf numFmtId="1" fontId="2" fillId="2" borderId="17" xfId="0" applyNumberFormat="1" applyFont="1" applyFill="1" applyBorder="1" applyAlignment="1" applyProtection="1">
      <alignment horizontal="left"/>
      <protection hidden="1" locked="0"/>
    </xf>
    <xf numFmtId="0" fontId="50" fillId="2" borderId="10" xfId="0" applyFont="1" applyFill="1" applyBorder="1" applyAlignment="1" applyProtection="1">
      <alignment/>
      <protection hidden="1"/>
    </xf>
    <xf numFmtId="2" fontId="12" fillId="2" borderId="10" xfId="0" applyNumberFormat="1" applyFont="1" applyFill="1" applyBorder="1" applyAlignment="1" applyProtection="1">
      <alignment horizontal="right"/>
      <protection hidden="1"/>
    </xf>
    <xf numFmtId="2" fontId="47" fillId="2" borderId="10" xfId="0" applyNumberFormat="1" applyFont="1" applyFill="1" applyBorder="1" applyAlignment="1" applyProtection="1">
      <alignment horizontal="center"/>
      <protection hidden="1"/>
    </xf>
    <xf numFmtId="170" fontId="12" fillId="2" borderId="10" xfId="0" applyNumberFormat="1" applyFont="1" applyFill="1" applyBorder="1" applyAlignment="1" applyProtection="1">
      <alignment/>
      <protection hidden="1"/>
    </xf>
    <xf numFmtId="170" fontId="47" fillId="2" borderId="10" xfId="0" applyNumberFormat="1" applyFont="1" applyFill="1" applyBorder="1" applyAlignment="1" applyProtection="1">
      <alignment/>
      <protection hidden="1"/>
    </xf>
    <xf numFmtId="0" fontId="1" fillId="2" borderId="17" xfId="0" applyFont="1" applyFill="1" applyBorder="1" applyAlignment="1" applyProtection="1">
      <alignment/>
      <protection hidden="1"/>
    </xf>
    <xf numFmtId="0" fontId="1" fillId="2" borderId="18" xfId="0" applyFont="1" applyFill="1" applyBorder="1" applyAlignment="1" applyProtection="1">
      <alignment/>
      <protection hidden="1"/>
    </xf>
    <xf numFmtId="0" fontId="3" fillId="2" borderId="3" xfId="0" applyFont="1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170" fontId="1" fillId="2" borderId="8" xfId="0" applyNumberFormat="1" applyFont="1" applyFill="1" applyBorder="1" applyAlignment="1" applyProtection="1">
      <alignment horizontal="left"/>
      <protection hidden="1"/>
    </xf>
    <xf numFmtId="0" fontId="3" fillId="2" borderId="18" xfId="0" applyFont="1" applyFill="1" applyBorder="1" applyAlignment="1" applyProtection="1">
      <alignment horizontal="left"/>
      <protection hidden="1"/>
    </xf>
    <xf numFmtId="170" fontId="3" fillId="2" borderId="18" xfId="0" applyNumberFormat="1" applyFont="1" applyFill="1" applyBorder="1" applyAlignment="1" applyProtection="1">
      <alignment horizontal="left"/>
      <protection hidden="1"/>
    </xf>
    <xf numFmtId="1" fontId="3" fillId="2" borderId="16" xfId="0" applyNumberFormat="1" applyFont="1" applyFill="1" applyBorder="1" applyAlignment="1" applyProtection="1">
      <alignment horizontal="left"/>
      <protection hidden="1" locked="0"/>
    </xf>
    <xf numFmtId="1" fontId="12" fillId="2" borderId="10" xfId="0" applyNumberFormat="1" applyFont="1" applyFill="1" applyBorder="1" applyAlignment="1" applyProtection="1">
      <alignment/>
      <protection hidden="1"/>
    </xf>
    <xf numFmtId="0" fontId="18" fillId="2" borderId="0" xfId="0" applyFont="1" applyFill="1" applyAlignment="1" quotePrefix="1">
      <alignment/>
    </xf>
    <xf numFmtId="170" fontId="1" fillId="2" borderId="0" xfId="0" applyNumberFormat="1" applyFont="1" applyFill="1" applyAlignment="1" applyProtection="1">
      <alignment horizontal="left"/>
      <protection hidden="1"/>
    </xf>
    <xf numFmtId="0" fontId="1" fillId="2" borderId="8" xfId="0" applyFont="1" applyFill="1" applyBorder="1" applyAlignment="1" applyProtection="1">
      <alignment/>
      <protection hidden="1"/>
    </xf>
    <xf numFmtId="170" fontId="1" fillId="2" borderId="7" xfId="0" applyNumberFormat="1" applyFont="1" applyFill="1" applyBorder="1" applyAlignment="1" applyProtection="1">
      <alignment horizontal="left"/>
      <protection hidden="1"/>
    </xf>
    <xf numFmtId="0" fontId="1" fillId="2" borderId="16" xfId="0" applyFont="1" applyFill="1" applyBorder="1" applyAlignment="1" applyProtection="1">
      <alignment horizontal="left"/>
      <protection hidden="1"/>
    </xf>
    <xf numFmtId="0" fontId="1" fillId="2" borderId="16" xfId="0" applyFont="1" applyFill="1" applyBorder="1" applyAlignment="1" applyProtection="1">
      <alignment/>
      <protection hidden="1"/>
    </xf>
    <xf numFmtId="2" fontId="1" fillId="2" borderId="0" xfId="0" applyNumberFormat="1" applyFont="1" applyFill="1" applyAlignment="1" applyProtection="1">
      <alignment/>
      <protection hidden="1"/>
    </xf>
    <xf numFmtId="2" fontId="1" fillId="2" borderId="0" xfId="0" applyNumberFormat="1" applyFont="1" applyFill="1" applyBorder="1" applyAlignment="1" applyProtection="1">
      <alignment horizontal="left"/>
      <protection hidden="1"/>
    </xf>
    <xf numFmtId="170" fontId="1" fillId="2" borderId="0" xfId="0" applyNumberFormat="1" applyFont="1" applyFill="1" applyBorder="1" applyAlignment="1" applyProtection="1">
      <alignment horizontal="left"/>
      <protection hidden="1"/>
    </xf>
    <xf numFmtId="0" fontId="1" fillId="2" borderId="18" xfId="0" applyFont="1" applyFill="1" applyBorder="1" applyAlignment="1" applyProtection="1">
      <alignment horizontal="left"/>
      <protection hidden="1"/>
    </xf>
    <xf numFmtId="170" fontId="1" fillId="2" borderId="0" xfId="0" applyNumberFormat="1" applyFont="1" applyFill="1" applyBorder="1" applyAlignment="1" applyProtection="1">
      <alignment/>
      <protection hidden="1"/>
    </xf>
    <xf numFmtId="2" fontId="1" fillId="2" borderId="0" xfId="0" applyNumberFormat="1" applyFont="1" applyFill="1" applyBorder="1" applyAlignment="1" applyProtection="1">
      <alignment/>
      <protection hidden="1"/>
    </xf>
    <xf numFmtId="170" fontId="1" fillId="2" borderId="18" xfId="0" applyNumberFormat="1" applyFont="1" applyFill="1" applyBorder="1" applyAlignment="1" applyProtection="1">
      <alignment horizontal="left"/>
      <protection hidden="1"/>
    </xf>
    <xf numFmtId="170" fontId="1" fillId="2" borderId="9" xfId="0" applyNumberFormat="1" applyFont="1" applyFill="1" applyBorder="1" applyAlignment="1" applyProtection="1">
      <alignment horizontal="left"/>
      <protection hidden="1"/>
    </xf>
    <xf numFmtId="0" fontId="12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83"/>
          <c:h val="0.9705"/>
        </c:manualLayout>
      </c:layout>
      <c:scatterChart>
        <c:scatterStyle val="smooth"/>
        <c:varyColors val="0"/>
        <c:ser>
          <c:idx val="0"/>
          <c:order val="0"/>
          <c:tx>
            <c:v>tandwiel 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tandwielen'!$X$44:$X$124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'Twee tandwielen'!$Y$44:$Y$124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tandwiel 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tandwielen'!$AB$44:$AB$124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'Twee tandwielen'!$AC$44:$AC$124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as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'Twee tandwielen'!$U$38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'Twee tandwielen'!$V$38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as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'Twee tandwielen'!$Z$38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'Twee tandwielen'!$AA$38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tandwiel 1 spaak 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'Twee tandwielen'!$U$127:$U$128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tandwielen'!$V$127:$V$128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ser>
          <c:idx val="7"/>
          <c:order val="7"/>
          <c:tx>
            <c:v>tandwiel 1 spaak 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tandwielen'!$U$131:$U$132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tandwielen'!$V$131:$V$132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tandwiel 1 spaak 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tandwielen'!$U$135:$U$136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tandwielen'!$V$135:$V$136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v>tandwiel 2 spaak 1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FF"/>
                </a:solidFill>
              </a:ln>
            </c:spPr>
            <c:marker>
              <c:symbol val="circl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'Twee tandwielen'!$Z$127:$Z$128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tandwielen'!$AA$127:$AA$128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v>tandwiel 2 spaak 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tandwielen'!$Z$131:$Z$132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tandwielen'!$AA$131:$AA$132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tandwiel 2 spaak 3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tandwielen'!$Z$135:$Z$136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tandwielen'!$AA$135:$AA$136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20305933"/>
        <c:axId val="48535670"/>
      </c:scatterChart>
      <c:valAx>
        <c:axId val="20305933"/>
        <c:scaling>
          <c:orientation val="minMax"/>
          <c:max val="70"/>
          <c:min val="-30"/>
        </c:scaling>
        <c:axPos val="b"/>
        <c:delete val="1"/>
        <c:majorTickMark val="out"/>
        <c:minorTickMark val="none"/>
        <c:tickLblPos val="nextTo"/>
        <c:crossAx val="48535670"/>
        <c:crosses val="autoZero"/>
        <c:crossBetween val="midCat"/>
        <c:dispUnits/>
        <c:majorUnit val="10"/>
      </c:valAx>
      <c:valAx>
        <c:axId val="48535670"/>
        <c:scaling>
          <c:orientation val="minMax"/>
          <c:max val="25"/>
          <c:min val="-25"/>
        </c:scaling>
        <c:axPos val="l"/>
        <c:delete val="1"/>
        <c:majorTickMark val="out"/>
        <c:minorTickMark val="none"/>
        <c:tickLblPos val="nextTo"/>
        <c:crossAx val="203059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1" i="0" u="none" baseline="0">
          <a:solidFill>
            <a:srgbClr val="96969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83"/>
          <c:h val="0.96025"/>
        </c:manualLayout>
      </c:layout>
      <c:scatterChart>
        <c:scatterStyle val="smooth"/>
        <c:varyColors val="0"/>
        <c:ser>
          <c:idx val="0"/>
          <c:order val="0"/>
          <c:tx>
            <c:v>tandwiel 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ketting'!$X$44:$X$124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'Twee tandwielen met ketting'!$Y$44:$Y$124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tandwiel 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ketting'!$AB$44:$AB$124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'Twee tandwielen met ketting'!$AC$44:$AC$124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as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'Twee tandwielen met ketting'!$U$38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'Twee tandwielen met ketting'!$V$38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as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'Twee tandwielen met ketting'!$Z$38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'Twee tandwielen met ketting'!$AA$38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tandwiel 1 spaak 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'Twee tandwielen met ketting'!$U$127:$U$128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ketting'!$V$127:$V$128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ser>
          <c:idx val="7"/>
          <c:order val="7"/>
          <c:tx>
            <c:v>tandwiel 1 spaak 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ketting'!$U$131:$U$132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ketting'!$V$131:$V$132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tandwiel 1 spaak 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ketting'!$U$135:$U$136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ketting'!$V$135:$V$136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v>tandwiel 2 spaak 1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FF"/>
                </a:solidFill>
              </a:ln>
            </c:spPr>
            <c:marker>
              <c:symbol val="circl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'Twee tandwielen met ketting'!$Z$127:$Z$128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ketting'!$AA$127:$AA$128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v>tandwiel 2 spaak 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ketting'!$Z$131:$Z$132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ketting'!$AA$131:$AA$132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tandwiel 2 spaak 3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ketting'!$Z$135:$Z$136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ketting'!$AA$135:$AA$136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v>ketting boven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ketting'!$AD$35:$AD$36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ketting'!$AE$35:$AE$36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v>ketting onder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ketting'!$AF$32:$AF$33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ketting'!$AG$32:$AG$33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4"/>
          <c:order val="14"/>
          <c:tx>
            <c:v>ketting links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ketting'!$AJ$37:$AJ$47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'Twee tandwielen met ketting'!$AK$37:$AK$47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5"/>
          <c:order val="15"/>
          <c:tx>
            <c:v>ketting rechts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ketting'!$AN$37:$AN$47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'Twee tandwielen met ketting'!$AO$37:$AO$47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4167847"/>
        <c:axId val="39075168"/>
      </c:scatterChart>
      <c:valAx>
        <c:axId val="34167847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crossAx val="39075168"/>
        <c:crosses val="autoZero"/>
        <c:crossBetween val="midCat"/>
        <c:dispUnits/>
        <c:majorUnit val="10"/>
      </c:valAx>
      <c:valAx>
        <c:axId val="39075168"/>
        <c:scaling>
          <c:orientation val="minMax"/>
          <c:max val="25"/>
          <c:min val="-25"/>
        </c:scaling>
        <c:axPos val="l"/>
        <c:delete val="0"/>
        <c:numFmt formatCode="0.0" sourceLinked="0"/>
        <c:majorTickMark val="out"/>
        <c:minorTickMark val="none"/>
        <c:tickLblPos val="nextTo"/>
        <c:crossAx val="341678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solidFill>
            <a:srgbClr val="96969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485"/>
          <c:h val="0.96525"/>
        </c:manualLayout>
      </c:layout>
      <c:scatterChart>
        <c:scatterStyle val="smooth"/>
        <c:varyColors val="0"/>
        <c:ser>
          <c:idx val="9"/>
          <c:order val="0"/>
          <c:tx>
            <c:v>parallellogram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ketting'!$U$68:$U$70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'Twee tandwielen en ketting'!$V$68:$V$70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tekenkader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ketting'!$AA$28:$AA$33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'Twee tandwielen en ketting'!$AB$28:$AB$33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massa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'Twee tandwielen en ketting'!$AA$25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'Twee tandwielen en ketting'!$AB$25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v>cirkel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ketting'!$AA$37:$AA$73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'Twee tandwielen en ketting'!$AB$37:$AB$73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v>loslaatpunt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'Twee tandwielen en ketting'!$AA$18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'Twee tandwielen en ketting'!$AB$18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5"/>
          <c:tx>
            <c:v>koord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ketting'!$AC$25:$AC$26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en ketting'!$AD$25:$AD$26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6"/>
          <c:tx>
            <c:v>emmer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'Twee tandwielen en ketting'!$U$27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'Twee tandwielen en ketting'!$V$27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6"/>
          <c:order val="7"/>
          <c:tx>
            <c:v>Fz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ketting'!$U$36:$U$40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'Twee tandwielen en ketting'!$V$36:$V$40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Fr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ketting'!$U$48:$U$52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'Twee tandwielen en ketting'!$V$48:$V$52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7"/>
          <c:order val="9"/>
          <c:tx>
            <c:v>Femmer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ketting'!$U$60:$U$64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'Twee tandwielen en ketting'!$V$60:$V$64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v>baan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ketting'!$AI$29:$AI$79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'Twee tandwielen en ketting'!$AJ$29:$AJ$79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grond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ketting'!$U$73:$U$74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en ketting'!$V$73:$V$74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v>Fn grond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ketting'!$U$77:$U$81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'Twee tandwielen en ketting'!$V$77:$V$81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16132193"/>
        <c:axId val="10972010"/>
      </c:scatterChart>
      <c:valAx>
        <c:axId val="16132193"/>
        <c:scaling>
          <c:orientation val="minMax"/>
          <c:max val="1.1"/>
          <c:min val="-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 in m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crossAx val="10972010"/>
        <c:crosses val="autoZero"/>
        <c:crossBetween val="midCat"/>
        <c:dispUnits/>
        <c:majorUnit val="0.5"/>
        <c:minorUnit val="0.1"/>
      </c:valAx>
      <c:valAx>
        <c:axId val="10972010"/>
        <c:scaling>
          <c:orientation val="minMax"/>
          <c:max val="1.1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 in m</a:t>
                </a:r>
              </a:p>
            </c:rich>
          </c:tx>
          <c:layout>
            <c:manualLayout>
              <c:xMode val="factor"/>
              <c:yMode val="factor"/>
              <c:x val="0.00275"/>
              <c:y val="0.1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crossAx val="16132193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1" i="0" u="none" baseline="0">
          <a:solidFill>
            <a:srgbClr val="96969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"/>
          <c:w val="0.94075"/>
          <c:h val="0.92925"/>
        </c:manualLayout>
      </c:layout>
      <c:scatterChart>
        <c:scatterStyle val="smooth"/>
        <c:varyColors val="0"/>
        <c:ser>
          <c:idx val="0"/>
          <c:order val="0"/>
          <c:tx>
            <c:v>x-t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Theorie!$AA$8:$AA$18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Theorie!$AB$8:$AB$18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1639227"/>
        <c:axId val="16317588"/>
      </c:scatterChart>
      <c:valAx>
        <c:axId val="3163922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17588"/>
        <c:crosses val="autoZero"/>
        <c:crossBetween val="midCat"/>
        <c:dispUnits/>
      </c:valAx>
      <c:valAx>
        <c:axId val="16317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x(t) in m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392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25"/>
          <c:y val="0"/>
          <c:w val="0.90275"/>
          <c:h val="0.929"/>
        </c:manualLayout>
      </c:layout>
      <c:scatterChart>
        <c:scatterStyle val="smooth"/>
        <c:varyColors val="0"/>
        <c:ser>
          <c:idx val="0"/>
          <c:order val="0"/>
          <c:tx>
            <c:v>x-t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Theorie!$AA$8:$AA$18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Theorie!$AC$8:$AC$18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2640565"/>
        <c:axId val="46656222"/>
      </c:scatterChart>
      <c:valAx>
        <c:axId val="1264056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56222"/>
        <c:crosses val="autoZero"/>
        <c:crossBetween val="midCat"/>
        <c:dispUnits/>
      </c:valAx>
      <c:valAx>
        <c:axId val="46656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y(t) in 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405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v>x-t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Theorie!$AB$8:$AB$18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Theorie!$AD$8:$AD$18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7252815"/>
        <c:axId val="21057608"/>
      </c:scatterChart>
      <c:valAx>
        <c:axId val="17252815"/>
        <c:scaling>
          <c:orientation val="minMax"/>
          <c:max val="5"/>
        </c:scaling>
        <c:axPos val="b"/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1057608"/>
        <c:crosses val="autoZero"/>
        <c:crossBetween val="midCat"/>
        <c:dispUnits/>
        <c:majorUnit val="1"/>
        <c:minorUnit val="0.5"/>
      </c:valAx>
      <c:valAx>
        <c:axId val="21057608"/>
        <c:scaling>
          <c:orientation val="minMax"/>
          <c:min val="-5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725281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7.emf" /><Relationship Id="rId3" Type="http://schemas.openxmlformats.org/officeDocument/2006/relationships/image" Target="../media/image9.emf" /><Relationship Id="rId4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6.emf" /><Relationship Id="rId3" Type="http://schemas.openxmlformats.org/officeDocument/2006/relationships/image" Target="../media/image10.emf" /><Relationship Id="rId4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5</xdr:row>
      <xdr:rowOff>200025</xdr:rowOff>
    </xdr:from>
    <xdr:to>
      <xdr:col>12</xdr:col>
      <xdr:colOff>142875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81675" y="1171575"/>
          <a:ext cx="1352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95250</xdr:rowOff>
    </xdr:from>
    <xdr:to>
      <xdr:col>10</xdr:col>
      <xdr:colOff>1285875</xdr:colOff>
      <xdr:row>35</xdr:row>
      <xdr:rowOff>57150</xdr:rowOff>
    </xdr:to>
    <xdr:graphicFrame>
      <xdr:nvGraphicFramePr>
        <xdr:cNvPr id="1" name="Chart 3"/>
        <xdr:cNvGraphicFramePr/>
      </xdr:nvGraphicFramePr>
      <xdr:xfrm>
        <a:off x="180975" y="2486025"/>
        <a:ext cx="77152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14</xdr:row>
      <xdr:rowOff>0</xdr:rowOff>
    </xdr:from>
    <xdr:to>
      <xdr:col>11</xdr:col>
      <xdr:colOff>28575</xdr:colOff>
      <xdr:row>15</xdr:row>
      <xdr:rowOff>19050</xdr:rowOff>
    </xdr:to>
    <xdr:grpSp>
      <xdr:nvGrpSpPr>
        <xdr:cNvPr id="2" name="Group 22"/>
        <xdr:cNvGrpSpPr>
          <a:grpSpLocks/>
        </xdr:cNvGrpSpPr>
      </xdr:nvGrpSpPr>
      <xdr:grpSpPr>
        <a:xfrm>
          <a:off x="5953125" y="2190750"/>
          <a:ext cx="1981200" cy="219075"/>
          <a:chOff x="794" y="131"/>
          <a:chExt cx="189" cy="23"/>
        </a:xfrm>
        <a:solidFill>
          <a:srgbClr val="FFFFFF"/>
        </a:solidFill>
      </xdr:grpSpPr>
      <xdr:pic>
        <xdr:nvPicPr>
          <xdr:cNvPr id="3" name="cmdStart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94" y="131"/>
            <a:ext cx="64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mdStop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857" y="131"/>
            <a:ext cx="64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mdReset1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920" y="131"/>
            <a:ext cx="63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95250</xdr:rowOff>
    </xdr:from>
    <xdr:to>
      <xdr:col>10</xdr:col>
      <xdr:colOff>1285875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180975" y="2486025"/>
        <a:ext cx="77152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14</xdr:row>
      <xdr:rowOff>0</xdr:rowOff>
    </xdr:from>
    <xdr:to>
      <xdr:col>11</xdr:col>
      <xdr:colOff>28575</xdr:colOff>
      <xdr:row>15</xdr:row>
      <xdr:rowOff>19050</xdr:rowOff>
    </xdr:to>
    <xdr:grpSp>
      <xdr:nvGrpSpPr>
        <xdr:cNvPr id="2" name="Group 5"/>
        <xdr:cNvGrpSpPr>
          <a:grpSpLocks/>
        </xdr:cNvGrpSpPr>
      </xdr:nvGrpSpPr>
      <xdr:grpSpPr>
        <a:xfrm>
          <a:off x="5953125" y="2190750"/>
          <a:ext cx="1981200" cy="219075"/>
          <a:chOff x="794" y="131"/>
          <a:chExt cx="189" cy="23"/>
        </a:xfrm>
        <a:solidFill>
          <a:srgbClr val="FFFFFF"/>
        </a:solidFill>
      </xdr:grpSpPr>
      <xdr:pic>
        <xdr:nvPicPr>
          <xdr:cNvPr id="3" name="cmdStart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94" y="131"/>
            <a:ext cx="64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mdStop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857" y="131"/>
            <a:ext cx="64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mdReset1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920" y="131"/>
            <a:ext cx="63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85725</xdr:rowOff>
    </xdr:from>
    <xdr:to>
      <xdr:col>10</xdr:col>
      <xdr:colOff>638175</xdr:colOff>
      <xdr:row>41</xdr:row>
      <xdr:rowOff>133350</xdr:rowOff>
    </xdr:to>
    <xdr:grpSp>
      <xdr:nvGrpSpPr>
        <xdr:cNvPr id="1" name="Group 36"/>
        <xdr:cNvGrpSpPr>
          <a:grpSpLocks/>
        </xdr:cNvGrpSpPr>
      </xdr:nvGrpSpPr>
      <xdr:grpSpPr>
        <a:xfrm>
          <a:off x="161925" y="1333500"/>
          <a:ext cx="8848725" cy="6076950"/>
          <a:chOff x="17" y="147"/>
          <a:chExt cx="841" cy="617"/>
        </a:xfrm>
        <a:solidFill>
          <a:srgbClr val="FFFFFF"/>
        </a:solidFill>
      </xdr:grpSpPr>
      <xdr:sp>
        <xdr:nvSpPr>
          <xdr:cNvPr id="2" name="Rectangle 35"/>
          <xdr:cNvSpPr>
            <a:spLocks/>
          </xdr:cNvSpPr>
        </xdr:nvSpPr>
        <xdr:spPr>
          <a:xfrm>
            <a:off x="54" y="688"/>
            <a:ext cx="765" cy="44"/>
          </a:xfrm>
          <a:prstGeom prst="rect">
            <a:avLst/>
          </a:prstGeom>
          <a:gradFill rotWithShape="1">
            <a:gsLst>
              <a:gs pos="0">
                <a:srgbClr val="800000"/>
              </a:gs>
              <a:gs pos="100000">
                <a:srgbClr val="9E3D3D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aphicFrame>
        <xdr:nvGraphicFramePr>
          <xdr:cNvPr id="3" name="Chart 1"/>
          <xdr:cNvGraphicFramePr/>
        </xdr:nvGraphicFramePr>
        <xdr:xfrm>
          <a:off x="17" y="147"/>
          <a:ext cx="841" cy="61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</xdr:grpSp>
    <xdr:clientData/>
  </xdr:twoCellAnchor>
  <xdr:twoCellAnchor>
    <xdr:from>
      <xdr:col>8</xdr:col>
      <xdr:colOff>171450</xdr:colOff>
      <xdr:row>8</xdr:row>
      <xdr:rowOff>0</xdr:rowOff>
    </xdr:from>
    <xdr:to>
      <xdr:col>11</xdr:col>
      <xdr:colOff>9525</xdr:colOff>
      <xdr:row>9</xdr:row>
      <xdr:rowOff>19050</xdr:rowOff>
    </xdr:to>
    <xdr:grpSp>
      <xdr:nvGrpSpPr>
        <xdr:cNvPr id="4" name="Group 37"/>
        <xdr:cNvGrpSpPr>
          <a:grpSpLocks/>
        </xdr:cNvGrpSpPr>
      </xdr:nvGrpSpPr>
      <xdr:grpSpPr>
        <a:xfrm>
          <a:off x="7448550" y="1000125"/>
          <a:ext cx="1600200" cy="219075"/>
          <a:chOff x="816" y="107"/>
          <a:chExt cx="189" cy="26"/>
        </a:xfrm>
        <a:solidFill>
          <a:srgbClr val="FFFFFF"/>
        </a:solidFill>
      </xdr:grpSpPr>
      <xdr:pic>
        <xdr:nvPicPr>
          <xdr:cNvPr id="5" name="cmdStart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16" y="107"/>
            <a:ext cx="6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mdStop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879" y="107"/>
            <a:ext cx="6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dReset1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942" y="107"/>
            <a:ext cx="6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95250</xdr:rowOff>
    </xdr:from>
    <xdr:to>
      <xdr:col>8</xdr:col>
      <xdr:colOff>76200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504825" y="5305425"/>
        <a:ext cx="39147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25</xdr:row>
      <xdr:rowOff>114300</xdr:rowOff>
    </xdr:from>
    <xdr:to>
      <xdr:col>14</xdr:col>
      <xdr:colOff>228600</xdr:colOff>
      <xdr:row>41</xdr:row>
      <xdr:rowOff>171450</xdr:rowOff>
    </xdr:to>
    <xdr:graphicFrame>
      <xdr:nvGraphicFramePr>
        <xdr:cNvPr id="2" name="Chart 2"/>
        <xdr:cNvGraphicFramePr/>
      </xdr:nvGraphicFramePr>
      <xdr:xfrm>
        <a:off x="4495800" y="5305425"/>
        <a:ext cx="37338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45</xdr:row>
      <xdr:rowOff>95250</xdr:rowOff>
    </xdr:from>
    <xdr:to>
      <xdr:col>7</xdr:col>
      <xdr:colOff>542925</xdr:colOff>
      <xdr:row>61</xdr:row>
      <xdr:rowOff>123825</xdr:rowOff>
    </xdr:to>
    <xdr:graphicFrame>
      <xdr:nvGraphicFramePr>
        <xdr:cNvPr id="3" name="Chart 3"/>
        <xdr:cNvGraphicFramePr/>
      </xdr:nvGraphicFramePr>
      <xdr:xfrm>
        <a:off x="504825" y="8667750"/>
        <a:ext cx="37719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590550</xdr:colOff>
      <xdr:row>14</xdr:row>
      <xdr:rowOff>19050</xdr:rowOff>
    </xdr:from>
    <xdr:to>
      <xdr:col>5</xdr:col>
      <xdr:colOff>247650</xdr:colOff>
      <xdr:row>15</xdr:row>
      <xdr:rowOff>19050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2952750"/>
          <a:ext cx="876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3:N29"/>
  <sheetViews>
    <sheetView showGridLines="0" showRowColHeaders="0" tabSelected="1" showOutlineSymbols="0" workbookViewId="0" topLeftCell="A1">
      <selection activeCell="K8" sqref="K8"/>
    </sheetView>
  </sheetViews>
  <sheetFormatPr defaultColWidth="9.140625" defaultRowHeight="12.75"/>
  <cols>
    <col min="1" max="1" width="5.00390625" style="50" customWidth="1"/>
    <col min="2" max="2" width="5.28125" style="50" customWidth="1"/>
    <col min="3" max="3" width="9.140625" style="50" customWidth="1"/>
    <col min="4" max="4" width="11.8515625" style="50" bestFit="1" customWidth="1"/>
    <col min="5" max="10" width="9.140625" style="50" customWidth="1"/>
    <col min="11" max="11" width="9.57421875" style="50" bestFit="1" customWidth="1"/>
    <col min="12" max="16384" width="9.140625" style="50" customWidth="1"/>
  </cols>
  <sheetData>
    <row r="3" ht="18.75">
      <c r="B3" s="51"/>
    </row>
    <row r="5" spans="2:14" ht="19.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14" ht="19.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2:14" ht="31.5">
      <c r="B7" s="52"/>
      <c r="C7" s="82" t="s">
        <v>107</v>
      </c>
      <c r="D7" s="52"/>
      <c r="E7" s="52"/>
      <c r="F7" s="52"/>
      <c r="G7" s="52"/>
      <c r="H7" s="52"/>
      <c r="I7" s="52"/>
      <c r="J7" s="52"/>
      <c r="K7" s="245" t="s">
        <v>154</v>
      </c>
      <c r="L7" s="52"/>
      <c r="M7" s="52"/>
      <c r="N7" s="52"/>
    </row>
    <row r="8" spans="2:14" ht="19.5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2:14" ht="19.5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2:14" ht="19.5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2:14" ht="19.5">
      <c r="B11" s="52"/>
      <c r="C11" s="53" t="s">
        <v>45</v>
      </c>
      <c r="D11" s="54"/>
      <c r="E11" s="54"/>
      <c r="F11" s="54"/>
      <c r="G11" s="52"/>
      <c r="H11" s="52"/>
      <c r="I11" s="52"/>
      <c r="J11" s="52"/>
      <c r="K11" s="52"/>
      <c r="L11" s="52"/>
      <c r="M11" s="52"/>
      <c r="N11" s="52"/>
    </row>
    <row r="12" spans="2:14" ht="19.5">
      <c r="B12" s="52"/>
      <c r="C12" s="54" t="s">
        <v>17</v>
      </c>
      <c r="D12" s="55" t="s">
        <v>118</v>
      </c>
      <c r="E12" s="54"/>
      <c r="F12" s="54"/>
      <c r="G12" s="52"/>
      <c r="H12" s="52"/>
      <c r="I12" s="52"/>
      <c r="J12" s="52"/>
      <c r="K12" s="52"/>
      <c r="L12" s="52"/>
      <c r="M12" s="52"/>
      <c r="N12" s="52"/>
    </row>
    <row r="13" spans="2:14" ht="19.5">
      <c r="B13" s="52"/>
      <c r="C13" s="56"/>
      <c r="D13" s="129" t="s">
        <v>98</v>
      </c>
      <c r="E13" s="54"/>
      <c r="F13" s="54"/>
      <c r="G13" s="52"/>
      <c r="H13" s="52"/>
      <c r="I13" s="52"/>
      <c r="J13" s="52"/>
      <c r="K13" s="52"/>
      <c r="L13" s="52"/>
      <c r="M13" s="52"/>
      <c r="N13" s="52"/>
    </row>
    <row r="14" spans="2:14" ht="19.5">
      <c r="B14" s="52"/>
      <c r="C14" s="56"/>
      <c r="D14" s="54" t="s">
        <v>105</v>
      </c>
      <c r="E14" s="54"/>
      <c r="F14" s="54"/>
      <c r="G14" s="52"/>
      <c r="H14" s="52"/>
      <c r="I14" s="52"/>
      <c r="J14" s="52"/>
      <c r="K14" s="52"/>
      <c r="L14" s="52"/>
      <c r="M14" s="52"/>
      <c r="N14" s="52"/>
    </row>
    <row r="15" spans="2:14" ht="19.5">
      <c r="B15" s="52"/>
      <c r="C15" s="56"/>
      <c r="D15" s="54" t="s">
        <v>104</v>
      </c>
      <c r="E15" s="54"/>
      <c r="F15" s="54"/>
      <c r="G15" s="52"/>
      <c r="H15" s="52"/>
      <c r="I15" s="52"/>
      <c r="J15" s="52"/>
      <c r="K15" s="52"/>
      <c r="L15" s="52"/>
      <c r="M15" s="52"/>
      <c r="N15" s="52"/>
    </row>
    <row r="16" spans="2:14" ht="19.5">
      <c r="B16" s="52"/>
      <c r="C16" s="56"/>
      <c r="D16" s="129" t="s">
        <v>99</v>
      </c>
      <c r="E16" s="54"/>
      <c r="F16" s="54"/>
      <c r="G16" s="52"/>
      <c r="H16" s="52"/>
      <c r="I16" s="52"/>
      <c r="J16" s="52"/>
      <c r="K16" s="52"/>
      <c r="L16" s="52"/>
      <c r="M16" s="52"/>
      <c r="N16" s="52"/>
    </row>
    <row r="17" spans="2:14" ht="9.75" customHeight="1">
      <c r="B17" s="52"/>
      <c r="D17" s="129"/>
      <c r="E17" s="54"/>
      <c r="F17" s="54"/>
      <c r="G17" s="52"/>
      <c r="H17" s="52"/>
      <c r="I17" s="52"/>
      <c r="J17" s="52"/>
      <c r="K17" s="52"/>
      <c r="L17" s="52"/>
      <c r="M17" s="52"/>
      <c r="N17" s="52"/>
    </row>
    <row r="18" spans="2:14" ht="19.5">
      <c r="B18" s="52"/>
      <c r="C18" s="128" t="s">
        <v>21</v>
      </c>
      <c r="D18" s="55" t="s">
        <v>144</v>
      </c>
      <c r="E18" s="54"/>
      <c r="F18" s="54"/>
      <c r="G18" s="52"/>
      <c r="H18" s="52"/>
      <c r="I18" s="52"/>
      <c r="J18" s="52"/>
      <c r="K18" s="52"/>
      <c r="L18" s="52"/>
      <c r="M18" s="52"/>
      <c r="N18" s="52"/>
    </row>
    <row r="19" spans="2:14" ht="19.5">
      <c r="B19" s="52"/>
      <c r="C19" s="56"/>
      <c r="D19" s="129" t="s">
        <v>100</v>
      </c>
      <c r="E19" s="54"/>
      <c r="F19" s="54"/>
      <c r="G19" s="52"/>
      <c r="H19" s="52"/>
      <c r="I19" s="52"/>
      <c r="J19" s="52"/>
      <c r="K19" s="52"/>
      <c r="L19" s="52"/>
      <c r="M19" s="52"/>
      <c r="N19" s="52"/>
    </row>
    <row r="20" spans="2:14" ht="19.5">
      <c r="B20" s="52"/>
      <c r="C20" s="56"/>
      <c r="D20" s="129" t="s">
        <v>101</v>
      </c>
      <c r="E20" s="54"/>
      <c r="F20" s="54"/>
      <c r="G20" s="52"/>
      <c r="H20" s="52"/>
      <c r="I20" s="52"/>
      <c r="J20" s="52"/>
      <c r="K20" s="52"/>
      <c r="L20" s="52"/>
      <c r="M20" s="52"/>
      <c r="N20" s="52"/>
    </row>
    <row r="21" spans="2:14" ht="19.5">
      <c r="B21" s="52"/>
      <c r="C21" s="54"/>
      <c r="D21" s="129" t="s">
        <v>103</v>
      </c>
      <c r="E21" s="54"/>
      <c r="F21" s="54"/>
      <c r="G21" s="52"/>
      <c r="H21" s="52"/>
      <c r="I21" s="52"/>
      <c r="J21" s="52"/>
      <c r="K21" s="52"/>
      <c r="L21" s="52"/>
      <c r="M21" s="52"/>
      <c r="N21" s="52"/>
    </row>
    <row r="22" spans="2:14" ht="19.5" customHeight="1">
      <c r="B22" s="52"/>
      <c r="C22" s="54"/>
      <c r="D22" s="129" t="s">
        <v>102</v>
      </c>
      <c r="E22" s="54"/>
      <c r="F22" s="54"/>
      <c r="G22" s="52"/>
      <c r="H22" s="52"/>
      <c r="I22" s="52"/>
      <c r="J22" s="52"/>
      <c r="K22" s="52"/>
      <c r="L22" s="52"/>
      <c r="M22" s="52"/>
      <c r="N22" s="52"/>
    </row>
    <row r="23" spans="2:14" ht="9.75" customHeight="1">
      <c r="B23" s="52"/>
      <c r="C23" s="54"/>
      <c r="D23" s="129"/>
      <c r="E23" s="54"/>
      <c r="F23" s="54"/>
      <c r="G23" s="52"/>
      <c r="H23" s="52"/>
      <c r="I23" s="52"/>
      <c r="J23" s="52"/>
      <c r="K23" s="52"/>
      <c r="L23" s="52"/>
      <c r="M23" s="52"/>
      <c r="N23" s="52"/>
    </row>
    <row r="24" spans="3:6" ht="19.5">
      <c r="C24" s="83" t="s">
        <v>74</v>
      </c>
      <c r="D24" s="55"/>
      <c r="E24" s="54"/>
      <c r="F24" s="54"/>
    </row>
    <row r="25" spans="3:4" ht="19.5">
      <c r="C25" s="56"/>
      <c r="D25" s="54"/>
    </row>
    <row r="26" spans="3:4" ht="19.5">
      <c r="C26" s="56"/>
      <c r="D26" s="54"/>
    </row>
    <row r="27" ht="19.5">
      <c r="D27" s="54"/>
    </row>
    <row r="28" ht="19.5">
      <c r="D28" s="54"/>
    </row>
    <row r="29" ht="14.25">
      <c r="C29" s="83"/>
    </row>
  </sheetData>
  <sheetProtection password="DE47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B1:AD136"/>
  <sheetViews>
    <sheetView showGridLines="0" showRowColHeaders="0" showOutlineSymbols="0" workbookViewId="0" topLeftCell="A1">
      <pane xSplit="15" topLeftCell="IV1" activePane="topRight" state="frozen"/>
      <selection pane="topLeft" activeCell="A1" sqref="A1"/>
      <selection pane="topRight" activeCell="K9" sqref="K9"/>
    </sheetView>
  </sheetViews>
  <sheetFormatPr defaultColWidth="9.140625" defaultRowHeight="12.75"/>
  <cols>
    <col min="1" max="1" width="2.8515625" style="134" customWidth="1"/>
    <col min="2" max="2" width="20.28125" style="134" bestFit="1" customWidth="1"/>
    <col min="3" max="3" width="12.7109375" style="134" bestFit="1" customWidth="1"/>
    <col min="4" max="4" width="7.140625" style="134" bestFit="1" customWidth="1"/>
    <col min="5" max="5" width="14.57421875" style="134" bestFit="1" customWidth="1"/>
    <col min="6" max="6" width="5.28125" style="134" customWidth="1"/>
    <col min="7" max="7" width="3.28125" style="134" customWidth="1"/>
    <col min="8" max="8" width="20.28125" style="134" bestFit="1" customWidth="1"/>
    <col min="9" max="9" width="6.421875" style="134" customWidth="1"/>
    <col min="10" max="10" width="6.28125" style="134" bestFit="1" customWidth="1"/>
    <col min="11" max="11" width="19.421875" style="134" customWidth="1"/>
    <col min="12" max="12" width="9.140625" style="134" customWidth="1"/>
    <col min="13" max="13" width="60.00390625" style="134" customWidth="1"/>
    <col min="14" max="14" width="134.28125" style="134" customWidth="1"/>
    <col min="15" max="15" width="134.8515625" style="134" customWidth="1"/>
    <col min="16" max="17" width="9.28125" style="134" bestFit="1" customWidth="1"/>
    <col min="18" max="18" width="9.140625" style="134" customWidth="1"/>
    <col min="19" max="20" width="9.28125" style="134" bestFit="1" customWidth="1"/>
    <col min="21" max="21" width="31.421875" style="134" bestFit="1" customWidth="1"/>
    <col min="22" max="22" width="16.7109375" style="134" bestFit="1" customWidth="1"/>
    <col min="23" max="23" width="14.57421875" style="134" bestFit="1" customWidth="1"/>
    <col min="24" max="24" width="10.00390625" style="134" bestFit="1" customWidth="1"/>
    <col min="25" max="25" width="10.00390625" style="134" customWidth="1"/>
    <col min="26" max="26" width="22.00390625" style="134" customWidth="1"/>
    <col min="27" max="27" width="15.00390625" style="134" bestFit="1" customWidth="1"/>
    <col min="28" max="28" width="16.140625" style="134" bestFit="1" customWidth="1"/>
    <col min="29" max="29" width="12.421875" style="134" bestFit="1" customWidth="1"/>
    <col min="30" max="30" width="2.7109375" style="134" customWidth="1"/>
    <col min="31" max="31" width="3.8515625" style="134" customWidth="1"/>
    <col min="32" max="32" width="9.421875" style="134" bestFit="1" customWidth="1"/>
    <col min="33" max="33" width="13.140625" style="134" bestFit="1" customWidth="1"/>
    <col min="34" max="34" width="11.140625" style="134" bestFit="1" customWidth="1"/>
    <col min="35" max="35" width="9.421875" style="134" bestFit="1" customWidth="1"/>
    <col min="36" max="16384" width="9.140625" style="134" customWidth="1"/>
  </cols>
  <sheetData>
    <row r="1" spans="2:27" ht="37.5" customHeight="1">
      <c r="B1" s="132" t="s">
        <v>125</v>
      </c>
      <c r="C1" s="133"/>
      <c r="D1" s="133"/>
      <c r="H1" s="135" t="s">
        <v>127</v>
      </c>
      <c r="I1" s="136"/>
      <c r="J1" s="136"/>
      <c r="L1" s="137"/>
      <c r="P1" s="8">
        <v>0</v>
      </c>
      <c r="Q1" s="9">
        <v>0</v>
      </c>
      <c r="R1" s="9" t="s">
        <v>14</v>
      </c>
      <c r="S1" s="9">
        <v>0</v>
      </c>
      <c r="T1" s="10">
        <v>0</v>
      </c>
      <c r="U1" s="124">
        <f>P1*3600+Q1*60+S1+T1</f>
        <v>0</v>
      </c>
      <c r="V1" s="134" t="s">
        <v>151</v>
      </c>
      <c r="W1" s="139">
        <f>Y29</f>
        <v>2000</v>
      </c>
      <c r="X1" s="134" t="s">
        <v>3</v>
      </c>
      <c r="Y1" s="140" t="s">
        <v>95</v>
      </c>
      <c r="Z1" s="141"/>
      <c r="AA1" s="142"/>
    </row>
    <row r="2" spans="2:27" ht="3.75" customHeight="1">
      <c r="B2" s="135"/>
      <c r="C2" s="133"/>
      <c r="D2" s="133"/>
      <c r="H2" s="136"/>
      <c r="I2" s="136"/>
      <c r="J2" s="136"/>
      <c r="L2" s="137"/>
      <c r="P2" s="143"/>
      <c r="Q2" s="143"/>
      <c r="R2" s="143"/>
      <c r="S2" s="143"/>
      <c r="T2" s="143"/>
      <c r="U2" s="124"/>
      <c r="Z2" s="141"/>
      <c r="AA2" s="142"/>
    </row>
    <row r="3" spans="2:27" ht="15" customHeight="1">
      <c r="B3" s="144" t="s">
        <v>129</v>
      </c>
      <c r="C3" s="130">
        <f>V30</f>
        <v>40</v>
      </c>
      <c r="D3" s="144"/>
      <c r="E3" s="145">
        <v>20</v>
      </c>
      <c r="F3" s="137"/>
      <c r="H3" s="146" t="s">
        <v>135</v>
      </c>
      <c r="I3" s="147">
        <f>AA30</f>
        <v>10</v>
      </c>
      <c r="J3" s="148"/>
      <c r="K3" s="137"/>
      <c r="L3" s="137"/>
      <c r="U3" s="149">
        <f>MIN(U1/V25,W1)</f>
        <v>0</v>
      </c>
      <c r="V3" s="134" t="s">
        <v>150</v>
      </c>
      <c r="Z3" s="141"/>
      <c r="AA3" s="142"/>
    </row>
    <row r="4" spans="2:27" ht="3.75" customHeight="1">
      <c r="B4" s="150"/>
      <c r="C4" s="131"/>
      <c r="D4" s="151"/>
      <c r="E4" s="137"/>
      <c r="F4" s="137"/>
      <c r="H4" s="152"/>
      <c r="I4" s="153"/>
      <c r="J4" s="154"/>
      <c r="K4" s="137"/>
      <c r="L4" s="137"/>
      <c r="Z4" s="141"/>
      <c r="AA4" s="142"/>
    </row>
    <row r="5" spans="2:27" ht="15" customHeight="1">
      <c r="B5" s="144" t="s">
        <v>130</v>
      </c>
      <c r="C5" s="155">
        <f>V32</f>
        <v>38.197186342054884</v>
      </c>
      <c r="D5" s="144" t="s">
        <v>128</v>
      </c>
      <c r="E5" s="137"/>
      <c r="F5" s="137"/>
      <c r="G5" s="137"/>
      <c r="H5" s="146" t="s">
        <v>136</v>
      </c>
      <c r="I5" s="156">
        <f>AA32</f>
        <v>9.549296585513721</v>
      </c>
      <c r="J5" s="146" t="s">
        <v>128</v>
      </c>
      <c r="L5" s="137"/>
      <c r="U5" s="124"/>
      <c r="V5" s="140"/>
      <c r="Z5" s="141"/>
      <c r="AA5" s="142"/>
    </row>
    <row r="6" spans="2:27" ht="3.75" customHeight="1">
      <c r="B6" s="150"/>
      <c r="C6" s="157"/>
      <c r="D6" s="151"/>
      <c r="E6" s="137"/>
      <c r="F6" s="137"/>
      <c r="H6" s="136"/>
      <c r="I6" s="136"/>
      <c r="J6" s="136"/>
      <c r="L6" s="137"/>
      <c r="Z6" s="141"/>
      <c r="AA6" s="142"/>
    </row>
    <row r="7" spans="2:27" ht="18.75" customHeight="1">
      <c r="B7" s="144" t="s">
        <v>131</v>
      </c>
      <c r="C7" s="130">
        <f>V34</f>
        <v>30</v>
      </c>
      <c r="D7" s="144" t="s">
        <v>132</v>
      </c>
      <c r="E7" s="145">
        <v>170</v>
      </c>
      <c r="F7" s="145"/>
      <c r="H7" s="146" t="s">
        <v>137</v>
      </c>
      <c r="I7" s="147">
        <f>AA34</f>
        <v>120</v>
      </c>
      <c r="J7" s="158" t="s">
        <v>138</v>
      </c>
      <c r="K7" s="137"/>
      <c r="L7" s="137"/>
      <c r="Z7" s="141"/>
      <c r="AA7" s="142"/>
    </row>
    <row r="8" spans="2:27" ht="3.75" customHeight="1">
      <c r="B8" s="159"/>
      <c r="C8" s="159"/>
      <c r="D8" s="159"/>
      <c r="H8" s="136"/>
      <c r="I8" s="136"/>
      <c r="J8" s="136"/>
      <c r="L8" s="137"/>
      <c r="Z8" s="141"/>
      <c r="AA8" s="142"/>
    </row>
    <row r="9" spans="2:28" ht="22.5">
      <c r="B9" s="144" t="s">
        <v>133</v>
      </c>
      <c r="C9" s="231">
        <f>V35</f>
        <v>0.5</v>
      </c>
      <c r="D9" s="144" t="s">
        <v>134</v>
      </c>
      <c r="H9" s="146" t="s">
        <v>139</v>
      </c>
      <c r="I9" s="232">
        <f>-AA35</f>
        <v>2</v>
      </c>
      <c r="J9" s="158" t="s">
        <v>153</v>
      </c>
      <c r="Z9" s="141"/>
      <c r="AA9" s="142"/>
      <c r="AB9" s="160"/>
    </row>
    <row r="10" spans="8:27" ht="3.75" customHeight="1">
      <c r="H10" s="152"/>
      <c r="I10" s="153"/>
      <c r="J10" s="154"/>
      <c r="K10" s="137"/>
      <c r="L10" s="137"/>
      <c r="Z10" s="141"/>
      <c r="AA10" s="142"/>
    </row>
    <row r="11" spans="2:27" ht="18.75" customHeight="1">
      <c r="B11" s="144" t="s">
        <v>173</v>
      </c>
      <c r="C11" s="233">
        <f>X35</f>
        <v>2</v>
      </c>
      <c r="D11" s="144" t="s">
        <v>3</v>
      </c>
      <c r="H11" s="146" t="s">
        <v>174</v>
      </c>
      <c r="I11" s="234">
        <f>AC35</f>
        <v>0.5</v>
      </c>
      <c r="J11" s="146" t="s">
        <v>3</v>
      </c>
      <c r="K11" s="137"/>
      <c r="L11" s="137"/>
      <c r="Z11" s="141"/>
      <c r="AA11" s="142"/>
    </row>
    <row r="12" spans="8:27" ht="3.75" customHeight="1" thickBot="1">
      <c r="H12" s="152"/>
      <c r="I12" s="153"/>
      <c r="J12" s="154"/>
      <c r="K12" s="137"/>
      <c r="L12" s="137"/>
      <c r="Z12" s="141"/>
      <c r="AA12" s="142"/>
    </row>
    <row r="13" spans="2:27" ht="18.75" customHeight="1" thickBot="1" thickTop="1">
      <c r="B13" s="230" t="s">
        <v>90</v>
      </c>
      <c r="C13" s="167"/>
      <c r="D13" s="166"/>
      <c r="E13" s="168">
        <f>U3</f>
        <v>0</v>
      </c>
      <c r="F13" s="169" t="s">
        <v>3</v>
      </c>
      <c r="H13" s="161" t="s">
        <v>140</v>
      </c>
      <c r="I13" s="162">
        <f>V25</f>
        <v>10</v>
      </c>
      <c r="J13" s="163" t="s">
        <v>5</v>
      </c>
      <c r="K13" s="137"/>
      <c r="L13" s="137"/>
      <c r="Z13" s="141"/>
      <c r="AA13" s="142"/>
    </row>
    <row r="14" spans="8:27" ht="3.75" customHeight="1" thickTop="1">
      <c r="H14" s="164"/>
      <c r="I14" s="165"/>
      <c r="J14" s="137"/>
      <c r="K14" s="137"/>
      <c r="L14" s="137"/>
      <c r="Z14" s="141"/>
      <c r="AA14" s="142"/>
    </row>
    <row r="15" spans="2:27" ht="15.75" customHeight="1">
      <c r="B15" s="144" t="s">
        <v>145</v>
      </c>
      <c r="C15" s="244">
        <f>X29</f>
        <v>1000</v>
      </c>
      <c r="D15" s="144" t="s">
        <v>152</v>
      </c>
      <c r="H15" s="170" t="s">
        <v>72</v>
      </c>
      <c r="I15" s="171"/>
      <c r="J15" s="172"/>
      <c r="K15" s="164"/>
      <c r="L15" s="137"/>
      <c r="Z15" s="141"/>
      <c r="AA15" s="142"/>
    </row>
    <row r="16" spans="2:27" ht="15" customHeight="1">
      <c r="B16" s="137"/>
      <c r="C16" s="137"/>
      <c r="D16" s="137"/>
      <c r="K16" s="141"/>
      <c r="Z16" s="141"/>
      <c r="AA16" s="142"/>
    </row>
    <row r="17" spans="9:27" ht="15.75">
      <c r="I17" s="160"/>
      <c r="K17" s="141"/>
      <c r="U17" s="173"/>
      <c r="V17" s="235" t="s">
        <v>59</v>
      </c>
      <c r="W17" s="173" t="s">
        <v>148</v>
      </c>
      <c r="X17" s="235"/>
      <c r="Y17" s="174" t="s">
        <v>149</v>
      </c>
      <c r="AA17" s="142"/>
    </row>
    <row r="18" spans="21:27" ht="15.75">
      <c r="U18" s="175">
        <v>1</v>
      </c>
      <c r="V18" s="137">
        <v>1</v>
      </c>
      <c r="W18" s="238">
        <v>1</v>
      </c>
      <c r="X18" s="239">
        <v>1</v>
      </c>
      <c r="Y18" s="240">
        <f>X18*$X$35</f>
        <v>2</v>
      </c>
      <c r="AA18" s="142"/>
    </row>
    <row r="19" spans="21:27" ht="15.75">
      <c r="U19" s="175">
        <v>2</v>
      </c>
      <c r="V19" s="137">
        <v>2</v>
      </c>
      <c r="W19" s="238">
        <v>2</v>
      </c>
      <c r="X19" s="239">
        <v>2</v>
      </c>
      <c r="Y19" s="240">
        <f aca="true" t="shared" si="0" ref="Y19:Y28">X19*$X$35</f>
        <v>4</v>
      </c>
      <c r="AA19" s="142"/>
    </row>
    <row r="20" spans="21:28" ht="15.75">
      <c r="U20" s="175">
        <v>3</v>
      </c>
      <c r="V20" s="137">
        <v>5</v>
      </c>
      <c r="W20" s="238">
        <v>3</v>
      </c>
      <c r="X20" s="239">
        <v>3</v>
      </c>
      <c r="Y20" s="240">
        <f t="shared" si="0"/>
        <v>6</v>
      </c>
      <c r="AA20" s="142"/>
      <c r="AB20" s="139"/>
    </row>
    <row r="21" spans="21:27" ht="15.75">
      <c r="U21" s="175">
        <v>4</v>
      </c>
      <c r="V21" s="137">
        <v>10</v>
      </c>
      <c r="W21" s="238">
        <v>4</v>
      </c>
      <c r="X21" s="239">
        <v>4</v>
      </c>
      <c r="Y21" s="240">
        <f t="shared" si="0"/>
        <v>8</v>
      </c>
      <c r="AA21" s="142"/>
    </row>
    <row r="22" spans="21:27" ht="15.75">
      <c r="U22" s="175">
        <v>5</v>
      </c>
      <c r="V22" s="137">
        <v>20</v>
      </c>
      <c r="W22" s="238">
        <v>5</v>
      </c>
      <c r="X22" s="239">
        <v>5</v>
      </c>
      <c r="Y22" s="240">
        <f t="shared" si="0"/>
        <v>10</v>
      </c>
      <c r="AA22" s="142"/>
    </row>
    <row r="23" spans="21:27" ht="15.75">
      <c r="U23" s="175">
        <v>6</v>
      </c>
      <c r="V23" s="137">
        <v>50</v>
      </c>
      <c r="W23" s="238">
        <v>6</v>
      </c>
      <c r="X23" s="239">
        <v>6</v>
      </c>
      <c r="Y23" s="240">
        <f t="shared" si="0"/>
        <v>12</v>
      </c>
      <c r="AA23" s="142"/>
    </row>
    <row r="24" spans="21:27" ht="15.75">
      <c r="U24" s="175">
        <v>7</v>
      </c>
      <c r="V24" s="137">
        <v>100</v>
      </c>
      <c r="W24" s="238">
        <v>7</v>
      </c>
      <c r="X24" s="239">
        <v>7</v>
      </c>
      <c r="Y24" s="240">
        <f t="shared" si="0"/>
        <v>14</v>
      </c>
      <c r="AA24" s="142"/>
    </row>
    <row r="25" spans="21:27" ht="15.75">
      <c r="U25" s="226">
        <v>4</v>
      </c>
      <c r="V25" s="236">
        <f>VLOOKUP(U25,U18:V24,2)</f>
        <v>10</v>
      </c>
      <c r="W25" s="238">
        <v>8</v>
      </c>
      <c r="X25" s="239">
        <v>8</v>
      </c>
      <c r="Y25" s="240">
        <f t="shared" si="0"/>
        <v>16</v>
      </c>
      <c r="AA25" s="160"/>
    </row>
    <row r="26" spans="21:27" ht="15.75">
      <c r="U26" s="138" t="s">
        <v>87</v>
      </c>
      <c r="V26" s="237">
        <v>1</v>
      </c>
      <c r="W26" s="238">
        <v>9</v>
      </c>
      <c r="X26" s="239">
        <v>9</v>
      </c>
      <c r="Y26" s="240">
        <f t="shared" si="0"/>
        <v>18</v>
      </c>
      <c r="AA26" s="160"/>
    </row>
    <row r="27" spans="21:27" ht="15.75">
      <c r="U27" s="141" t="s">
        <v>88</v>
      </c>
      <c r="V27" s="141">
        <f>IF(V26=1,0,1000)</f>
        <v>0</v>
      </c>
      <c r="W27" s="238">
        <v>10</v>
      </c>
      <c r="X27" s="239">
        <v>10</v>
      </c>
      <c r="Y27" s="240">
        <f t="shared" si="0"/>
        <v>20</v>
      </c>
      <c r="AA27" s="160"/>
    </row>
    <row r="28" spans="21:27" ht="15.75">
      <c r="U28" s="141"/>
      <c r="V28" s="141"/>
      <c r="W28" s="238">
        <v>11</v>
      </c>
      <c r="X28" s="239">
        <v>1000</v>
      </c>
      <c r="Y28" s="240">
        <f t="shared" si="0"/>
        <v>2000</v>
      </c>
      <c r="AA28" s="160"/>
    </row>
    <row r="29" spans="22:27" ht="15.75">
      <c r="V29" s="176"/>
      <c r="W29" s="243">
        <v>11</v>
      </c>
      <c r="X29" s="241">
        <f>VLOOKUP(W29,W18:Y28,2,FALSE)</f>
        <v>1000</v>
      </c>
      <c r="Y29" s="242">
        <f>VLOOKUP(W29,W18:Y28,3,FALSE)</f>
        <v>2000</v>
      </c>
      <c r="AA29" s="160"/>
    </row>
    <row r="30" spans="21:29" ht="15.75">
      <c r="U30" s="177" t="s">
        <v>119</v>
      </c>
      <c r="V30" s="227">
        <v>40</v>
      </c>
      <c r="W30" s="182"/>
      <c r="X30" s="183"/>
      <c r="Y30" s="183"/>
      <c r="Z30" s="184" t="s">
        <v>120</v>
      </c>
      <c r="AA30" s="229">
        <v>10</v>
      </c>
      <c r="AB30" s="179"/>
      <c r="AC30" s="180"/>
    </row>
    <row r="31" spans="21:29" ht="15.75">
      <c r="U31" s="181" t="s">
        <v>126</v>
      </c>
      <c r="V31" s="201">
        <v>0.3</v>
      </c>
      <c r="W31" s="182"/>
      <c r="X31" s="183"/>
      <c r="Y31" s="183"/>
      <c r="Z31" s="184"/>
      <c r="AA31" s="185"/>
      <c r="AB31" s="186"/>
      <c r="AC31" s="187"/>
    </row>
    <row r="32" spans="21:29" ht="15.75">
      <c r="U32" s="181" t="s">
        <v>121</v>
      </c>
      <c r="V32" s="188">
        <f>V30*V41/PI()</f>
        <v>38.197186342054884</v>
      </c>
      <c r="W32" s="182"/>
      <c r="X32" s="183"/>
      <c r="Y32" s="183"/>
      <c r="Z32" s="184" t="s">
        <v>122</v>
      </c>
      <c r="AA32" s="189">
        <f>AA30*V41/PI()</f>
        <v>9.549296585513721</v>
      </c>
      <c r="AB32" s="186"/>
      <c r="AC32" s="187"/>
    </row>
    <row r="33" spans="21:29" ht="15.75">
      <c r="U33" s="181" t="s">
        <v>123</v>
      </c>
      <c r="V33" s="188">
        <f>V32/2</f>
        <v>19.098593171027442</v>
      </c>
      <c r="W33" s="182"/>
      <c r="X33" s="183"/>
      <c r="Y33" s="183"/>
      <c r="Z33" s="184" t="s">
        <v>124</v>
      </c>
      <c r="AA33" s="189">
        <f>AA32/2</f>
        <v>4.7746482927568605</v>
      </c>
      <c r="AB33" s="186"/>
      <c r="AC33" s="187"/>
    </row>
    <row r="34" spans="21:29" ht="15.75">
      <c r="U34" s="181" t="s">
        <v>113</v>
      </c>
      <c r="V34" s="228">
        <v>30</v>
      </c>
      <c r="W34" s="182"/>
      <c r="X34" s="183"/>
      <c r="Y34" s="183"/>
      <c r="Z34" s="190" t="s">
        <v>116</v>
      </c>
      <c r="AA34" s="191">
        <f>V34*V30/AA30</f>
        <v>120</v>
      </c>
      <c r="AB34" s="186"/>
      <c r="AC34" s="187"/>
    </row>
    <row r="35" spans="21:30" ht="15.75">
      <c r="U35" s="181" t="s">
        <v>114</v>
      </c>
      <c r="V35" s="188">
        <f>1/(60/V34)</f>
        <v>0.5</v>
      </c>
      <c r="W35" s="182" t="s">
        <v>146</v>
      </c>
      <c r="X35" s="202">
        <f>1/V35</f>
        <v>2</v>
      </c>
      <c r="Y35" s="183" t="s">
        <v>3</v>
      </c>
      <c r="Z35" s="190" t="s">
        <v>117</v>
      </c>
      <c r="AA35" s="189">
        <f>-1/(60/AA34)</f>
        <v>-2</v>
      </c>
      <c r="AB35" s="186" t="s">
        <v>147</v>
      </c>
      <c r="AC35" s="187">
        <f>-1/AA35</f>
        <v>0.5</v>
      </c>
      <c r="AD35" s="134" t="s">
        <v>3</v>
      </c>
    </row>
    <row r="36" spans="10:29" ht="15.75">
      <c r="J36" s="192"/>
      <c r="U36" s="193" t="s">
        <v>108</v>
      </c>
      <c r="V36" s="183"/>
      <c r="W36" s="183"/>
      <c r="X36" s="183"/>
      <c r="Y36" s="183"/>
      <c r="Z36" s="184" t="s">
        <v>108</v>
      </c>
      <c r="AA36" s="186"/>
      <c r="AB36" s="186"/>
      <c r="AC36" s="187"/>
    </row>
    <row r="37" spans="10:29" ht="15.75">
      <c r="J37" s="194"/>
      <c r="U37" s="193" t="s">
        <v>5</v>
      </c>
      <c r="V37" s="183" t="s">
        <v>6</v>
      </c>
      <c r="W37" s="182"/>
      <c r="X37" s="183"/>
      <c r="Y37" s="183"/>
      <c r="Z37" s="184" t="s">
        <v>5</v>
      </c>
      <c r="AA37" s="186" t="s">
        <v>6</v>
      </c>
      <c r="AB37" s="186"/>
      <c r="AC37" s="187"/>
    </row>
    <row r="38" spans="21:29" ht="15.75">
      <c r="U38" s="195">
        <f>AA1*COS(AA19*U1-PI()/2)</f>
        <v>0</v>
      </c>
      <c r="V38" s="196">
        <v>0</v>
      </c>
      <c r="W38" s="188"/>
      <c r="X38" s="183"/>
      <c r="Y38" s="183"/>
      <c r="Z38" s="197">
        <f>V33+AA33+V40+V31</f>
        <v>26.173241463784304</v>
      </c>
      <c r="AA38" s="198">
        <v>0</v>
      </c>
      <c r="AB38" s="186"/>
      <c r="AC38" s="187"/>
    </row>
    <row r="39" spans="21:29" ht="15.75">
      <c r="U39" s="199" t="s">
        <v>109</v>
      </c>
      <c r="V39" s="200"/>
      <c r="W39" s="182"/>
      <c r="X39" s="183"/>
      <c r="Y39" s="183"/>
      <c r="Z39" s="184" t="s">
        <v>109</v>
      </c>
      <c r="AA39" s="186"/>
      <c r="AB39" s="186"/>
      <c r="AC39" s="187"/>
    </row>
    <row r="40" spans="21:29" ht="15.75">
      <c r="U40" s="193" t="s">
        <v>111</v>
      </c>
      <c r="V40" s="201">
        <v>2</v>
      </c>
      <c r="W40" s="202"/>
      <c r="X40" s="202"/>
      <c r="Y40" s="202"/>
      <c r="Z40" s="203" t="s">
        <v>111</v>
      </c>
      <c r="AA40" s="189">
        <f>V40</f>
        <v>2</v>
      </c>
      <c r="AB40" s="186"/>
      <c r="AC40" s="187"/>
    </row>
    <row r="41" spans="21:29" ht="15.75">
      <c r="U41" s="193" t="s">
        <v>112</v>
      </c>
      <c r="V41" s="204">
        <v>3</v>
      </c>
      <c r="W41" s="202"/>
      <c r="X41" s="202"/>
      <c r="Y41" s="202"/>
      <c r="Z41" s="203" t="s">
        <v>112</v>
      </c>
      <c r="AA41" s="189">
        <f>V41</f>
        <v>3</v>
      </c>
      <c r="AB41" s="186"/>
      <c r="AC41" s="187"/>
    </row>
    <row r="42" spans="21:29" ht="15.75">
      <c r="U42" s="199" t="s">
        <v>110</v>
      </c>
      <c r="V42" s="188">
        <f>2*PI()/(2*V30)</f>
        <v>0.07853981633974483</v>
      </c>
      <c r="W42" s="182"/>
      <c r="X42" s="183"/>
      <c r="Y42" s="183"/>
      <c r="Z42" s="184" t="s">
        <v>110</v>
      </c>
      <c r="AA42" s="189">
        <f>2*PI()/(2*AA30)</f>
        <v>0.3141592653589793</v>
      </c>
      <c r="AB42" s="186"/>
      <c r="AC42" s="187"/>
    </row>
    <row r="43" spans="21:29" ht="15.75">
      <c r="U43" s="205" t="s">
        <v>4</v>
      </c>
      <c r="V43" s="182" t="s">
        <v>106</v>
      </c>
      <c r="W43" s="183" t="s">
        <v>115</v>
      </c>
      <c r="X43" s="188" t="s">
        <v>26</v>
      </c>
      <c r="Y43" s="182" t="s">
        <v>27</v>
      </c>
      <c r="Z43" s="206" t="s">
        <v>4</v>
      </c>
      <c r="AA43" s="198" t="s">
        <v>106</v>
      </c>
      <c r="AB43" s="198" t="s">
        <v>5</v>
      </c>
      <c r="AC43" s="207" t="s">
        <v>6</v>
      </c>
    </row>
    <row r="44" spans="20:29" ht="15.75">
      <c r="T44" s="134">
        <v>0</v>
      </c>
      <c r="U44" s="208">
        <f>MIN(T44,2*$V$30)</f>
        <v>0</v>
      </c>
      <c r="V44" s="188">
        <f>IF(U44/2=ROUND(U44/2,0),$V$33+$V$40,$V$33)</f>
        <v>21.098593171027442</v>
      </c>
      <c r="W44" s="188">
        <f>U44*$V$42</f>
        <v>0</v>
      </c>
      <c r="X44" s="188">
        <f>V44*COS(W44+2*PI()*$V$35*$U$3)+$U$38</f>
        <v>21.098593171027442</v>
      </c>
      <c r="Y44" s="188">
        <f>V44*SIN(W44+2*PI()*$V$35*$U$3)+$V$38</f>
        <v>0</v>
      </c>
      <c r="Z44" s="206">
        <f>MIN(T44,2*$AA$30)</f>
        <v>0</v>
      </c>
      <c r="AA44" s="189">
        <f>IF(Z44/2=ROUND(Z44/2,0),$AA$33+$AA$40,$AA$33)</f>
        <v>6.7746482927568605</v>
      </c>
      <c r="AB44" s="189">
        <f>AA44*COS(Z44*$AA$42+2*PI()*$AA$35*$U$3+$AA$42+PI())+$Z$38</f>
        <v>19.730168059350056</v>
      </c>
      <c r="AC44" s="209">
        <f>AA44*SIN(Z44*$AA$42+2*PI()*$AA$35*$U$3+$AA$42+PI())+$AA$38</f>
        <v>-2.093481453375093</v>
      </c>
    </row>
    <row r="45" spans="20:29" ht="15.75">
      <c r="T45" s="134">
        <v>1</v>
      </c>
      <c r="U45" s="208">
        <f aca="true" t="shared" si="1" ref="U45:U108">MIN(T45,2*$V$30)</f>
        <v>1</v>
      </c>
      <c r="V45" s="188">
        <f>IF(U45/2=ROUND(U45/2,0),$V$33+$V$40,$V$33)</f>
        <v>19.098593171027442</v>
      </c>
      <c r="W45" s="188">
        <f aca="true" t="shared" si="2" ref="W45:W64">U45*$V$42</f>
        <v>0.07853981633974483</v>
      </c>
      <c r="X45" s="188">
        <f aca="true" t="shared" si="3" ref="X45:X66">V45*COS(W45+2*PI()*$V$35*$U$3)+$U$38</f>
        <v>19.039718582114403</v>
      </c>
      <c r="Y45" s="188">
        <f aca="true" t="shared" si="4" ref="Y45:Y66">V45*SIN(W45+2*PI()*$V$35*$U$3)+$V$38</f>
        <v>1.498458349872808</v>
      </c>
      <c r="Z45" s="206">
        <f aca="true" t="shared" si="5" ref="Z45:Z84">MIN(T45,2*$AA$30)</f>
        <v>1</v>
      </c>
      <c r="AA45" s="189">
        <f>IF(Z45/2=ROUND(Z45/2,0),$AA$33+$AA$40,$AA$33)</f>
        <v>4.7746482927568605</v>
      </c>
      <c r="AB45" s="189">
        <f aca="true" t="shared" si="6" ref="AB45:AB84">AA45*COS(Z45*$AA$42+2*PI()*$AA$35*$U$3+$AA$42+PI())+$Z$38</f>
        <v>22.310469852780674</v>
      </c>
      <c r="AC45" s="209">
        <f aca="true" t="shared" si="7" ref="AC45:AC84">AA45*SIN(Z45*$AA$42+2*PI()*$AA$35*$U$3+$AA$42+PI())+$AA$38</f>
        <v>-2.806467851365917</v>
      </c>
    </row>
    <row r="46" spans="20:29" ht="15.75">
      <c r="T46" s="134">
        <v>2</v>
      </c>
      <c r="U46" s="208">
        <f t="shared" si="1"/>
        <v>2</v>
      </c>
      <c r="V46" s="188">
        <f aca="true" t="shared" si="8" ref="V46:V109">IF(U46/2=ROUND(U46/2,0),$V$33+$V$40,$V$33)</f>
        <v>21.098593171027442</v>
      </c>
      <c r="W46" s="188">
        <f t="shared" si="2"/>
        <v>0.15707963267948966</v>
      </c>
      <c r="X46" s="188">
        <f t="shared" si="3"/>
        <v>20.838834477984</v>
      </c>
      <c r="Y46" s="188">
        <f t="shared" si="4"/>
        <v>3.3005471358111462</v>
      </c>
      <c r="Z46" s="206">
        <f t="shared" si="5"/>
        <v>2</v>
      </c>
      <c r="AA46" s="189">
        <f aca="true" t="shared" si="9" ref="AA46:AA109">IF(Z46/2=ROUND(Z46/2,0),$AA$33+$AA$40,$AA$33)</f>
        <v>6.7746482927568605</v>
      </c>
      <c r="AB46" s="189">
        <f t="shared" si="6"/>
        <v>22.191203107833438</v>
      </c>
      <c r="AC46" s="209">
        <f t="shared" si="7"/>
        <v>-5.480805599753523</v>
      </c>
    </row>
    <row r="47" spans="20:29" ht="15.75">
      <c r="T47" s="134">
        <v>3</v>
      </c>
      <c r="U47" s="208">
        <f t="shared" si="1"/>
        <v>3</v>
      </c>
      <c r="V47" s="188">
        <f t="shared" si="8"/>
        <v>19.098593171027442</v>
      </c>
      <c r="W47" s="188">
        <f t="shared" si="2"/>
        <v>0.23561944901923448</v>
      </c>
      <c r="X47" s="188">
        <f t="shared" si="3"/>
        <v>18.570897521419564</v>
      </c>
      <c r="Y47" s="188">
        <f t="shared" si="4"/>
        <v>4.458478031946411</v>
      </c>
      <c r="Z47" s="206">
        <f t="shared" si="5"/>
        <v>3</v>
      </c>
      <c r="AA47" s="189">
        <f t="shared" si="9"/>
        <v>4.7746482927568605</v>
      </c>
      <c r="AB47" s="189">
        <f t="shared" si="6"/>
        <v>24.697793999159103</v>
      </c>
      <c r="AC47" s="209">
        <f t="shared" si="7"/>
        <v>-4.540960371843942</v>
      </c>
    </row>
    <row r="48" spans="20:29" ht="15.75">
      <c r="T48" s="134">
        <v>4</v>
      </c>
      <c r="U48" s="208">
        <f t="shared" si="1"/>
        <v>4</v>
      </c>
      <c r="V48" s="188">
        <f t="shared" si="8"/>
        <v>21.098593171027442</v>
      </c>
      <c r="W48" s="188">
        <f t="shared" si="2"/>
        <v>0.3141592653589793</v>
      </c>
      <c r="X48" s="188">
        <f t="shared" si="3"/>
        <v>20.065954519966077</v>
      </c>
      <c r="Y48" s="188">
        <f t="shared" si="4"/>
        <v>6.519823847250691</v>
      </c>
      <c r="Z48" s="206">
        <f t="shared" si="5"/>
        <v>4</v>
      </c>
      <c r="AA48" s="189">
        <f t="shared" si="9"/>
        <v>6.7746482927568605</v>
      </c>
      <c r="AB48" s="189">
        <f t="shared" si="6"/>
        <v>26.173241463784304</v>
      </c>
      <c r="AC48" s="209">
        <f t="shared" si="7"/>
        <v>-6.7746482927568605</v>
      </c>
    </row>
    <row r="49" spans="2:29" ht="15.75">
      <c r="B49" s="260"/>
      <c r="C49" s="261"/>
      <c r="T49" s="134">
        <v>5</v>
      </c>
      <c r="U49" s="208">
        <f t="shared" si="1"/>
        <v>5</v>
      </c>
      <c r="V49" s="188">
        <f t="shared" si="8"/>
        <v>19.098593171027442</v>
      </c>
      <c r="W49" s="188">
        <f t="shared" si="2"/>
        <v>0.39269908169872414</v>
      </c>
      <c r="X49" s="188">
        <f t="shared" si="3"/>
        <v>17.644799330472086</v>
      </c>
      <c r="Y49" s="188">
        <f t="shared" si="4"/>
        <v>7.308715188033246</v>
      </c>
      <c r="Z49" s="206">
        <f t="shared" si="5"/>
        <v>5</v>
      </c>
      <c r="AA49" s="189">
        <f t="shared" si="9"/>
        <v>4.7746482927568605</v>
      </c>
      <c r="AB49" s="189">
        <f t="shared" si="6"/>
        <v>27.648688928409502</v>
      </c>
      <c r="AC49" s="209">
        <f t="shared" si="7"/>
        <v>-4.540960371843942</v>
      </c>
    </row>
    <row r="50" spans="20:29" ht="15.75">
      <c r="T50" s="134">
        <v>6</v>
      </c>
      <c r="U50" s="208">
        <f t="shared" si="1"/>
        <v>6</v>
      </c>
      <c r="V50" s="188">
        <f t="shared" si="8"/>
        <v>21.098593171027442</v>
      </c>
      <c r="W50" s="188">
        <f t="shared" si="2"/>
        <v>0.47123889803846897</v>
      </c>
      <c r="X50" s="188">
        <f t="shared" si="3"/>
        <v>18.798984166581597</v>
      </c>
      <c r="Y50" s="188">
        <f t="shared" si="4"/>
        <v>9.578560857516138</v>
      </c>
      <c r="Z50" s="206">
        <f t="shared" si="5"/>
        <v>6</v>
      </c>
      <c r="AA50" s="189">
        <f t="shared" si="9"/>
        <v>6.7746482927568605</v>
      </c>
      <c r="AB50" s="189">
        <f t="shared" si="6"/>
        <v>30.155279819735167</v>
      </c>
      <c r="AC50" s="209">
        <f t="shared" si="7"/>
        <v>-5.480805599753525</v>
      </c>
    </row>
    <row r="51" spans="20:29" ht="15.75">
      <c r="T51" s="134">
        <v>7</v>
      </c>
      <c r="U51" s="208">
        <f t="shared" si="1"/>
        <v>7</v>
      </c>
      <c r="V51" s="188">
        <f t="shared" si="8"/>
        <v>19.098593171027442</v>
      </c>
      <c r="W51" s="188">
        <f t="shared" si="2"/>
        <v>0.5497787143782138</v>
      </c>
      <c r="X51" s="188">
        <f t="shared" si="3"/>
        <v>16.28422762027678</v>
      </c>
      <c r="Y51" s="188">
        <f t="shared" si="4"/>
        <v>9.978987519955659</v>
      </c>
      <c r="Z51" s="206">
        <f t="shared" si="5"/>
        <v>7</v>
      </c>
      <c r="AA51" s="189">
        <f t="shared" si="9"/>
        <v>4.7746482927568605</v>
      </c>
      <c r="AB51" s="189">
        <f t="shared" si="6"/>
        <v>30.036013074787935</v>
      </c>
      <c r="AC51" s="209">
        <f t="shared" si="7"/>
        <v>-2.8064678513659183</v>
      </c>
    </row>
    <row r="52" spans="20:29" ht="15.75">
      <c r="T52" s="134">
        <v>8</v>
      </c>
      <c r="U52" s="208">
        <f t="shared" si="1"/>
        <v>8</v>
      </c>
      <c r="V52" s="188">
        <f t="shared" si="8"/>
        <v>21.098593171027442</v>
      </c>
      <c r="W52" s="188">
        <f t="shared" si="2"/>
        <v>0.6283185307179586</v>
      </c>
      <c r="X52" s="188">
        <f t="shared" si="3"/>
        <v>17.069120432764414</v>
      </c>
      <c r="Y52" s="188">
        <f t="shared" si="4"/>
        <v>12.401441910048616</v>
      </c>
      <c r="Z52" s="206">
        <f t="shared" si="5"/>
        <v>8</v>
      </c>
      <c r="AA52" s="189">
        <f t="shared" si="9"/>
        <v>6.7746482927568605</v>
      </c>
      <c r="AB52" s="189">
        <f t="shared" si="6"/>
        <v>32.61631486821855</v>
      </c>
      <c r="AC52" s="209">
        <f t="shared" si="7"/>
        <v>-2.0934814533750954</v>
      </c>
    </row>
    <row r="53" spans="20:29" ht="15.75">
      <c r="T53" s="134">
        <v>9</v>
      </c>
      <c r="U53" s="208">
        <f t="shared" si="1"/>
        <v>9</v>
      </c>
      <c r="V53" s="188">
        <f t="shared" si="8"/>
        <v>19.098593171027442</v>
      </c>
      <c r="W53" s="188">
        <f t="shared" si="2"/>
        <v>0.7068583470577035</v>
      </c>
      <c r="X53" s="188">
        <f t="shared" si="3"/>
        <v>14.52268418181728</v>
      </c>
      <c r="Y53" s="188">
        <f t="shared" si="4"/>
        <v>12.403544060775946</v>
      </c>
      <c r="Z53" s="206">
        <f t="shared" si="5"/>
        <v>9</v>
      </c>
      <c r="AA53" s="189">
        <f t="shared" si="9"/>
        <v>4.7746482927568605</v>
      </c>
      <c r="AB53" s="189">
        <f t="shared" si="6"/>
        <v>30.947889756541166</v>
      </c>
      <c r="AC53" s="209">
        <f t="shared" si="7"/>
        <v>-1.1699305957206295E-15</v>
      </c>
    </row>
    <row r="54" spans="20:29" ht="15.75">
      <c r="T54" s="134">
        <v>10</v>
      </c>
      <c r="U54" s="208">
        <f t="shared" si="1"/>
        <v>10</v>
      </c>
      <c r="V54" s="188">
        <f t="shared" si="8"/>
        <v>21.098593171027442</v>
      </c>
      <c r="W54" s="188">
        <f t="shared" si="2"/>
        <v>0.7853981633974483</v>
      </c>
      <c r="X54" s="188">
        <f t="shared" si="3"/>
        <v>14.918958304729689</v>
      </c>
      <c r="Y54" s="188">
        <f t="shared" si="4"/>
        <v>14.918958304729687</v>
      </c>
      <c r="Z54" s="206">
        <f t="shared" si="5"/>
        <v>10</v>
      </c>
      <c r="AA54" s="189">
        <f t="shared" si="9"/>
        <v>6.7746482927568605</v>
      </c>
      <c r="AB54" s="189">
        <f t="shared" si="6"/>
        <v>32.61631486821855</v>
      </c>
      <c r="AC54" s="209">
        <f t="shared" si="7"/>
        <v>2.0934814533750923</v>
      </c>
    </row>
    <row r="55" spans="20:29" ht="15.75">
      <c r="T55" s="134">
        <v>11</v>
      </c>
      <c r="U55" s="208">
        <f t="shared" si="1"/>
        <v>11</v>
      </c>
      <c r="V55" s="188">
        <f t="shared" si="8"/>
        <v>19.098593171027442</v>
      </c>
      <c r="W55" s="188">
        <f t="shared" si="2"/>
        <v>0.8639379797371931</v>
      </c>
      <c r="X55" s="188">
        <f t="shared" si="3"/>
        <v>12.403544060775946</v>
      </c>
      <c r="Y55" s="188">
        <f t="shared" si="4"/>
        <v>14.52268418181728</v>
      </c>
      <c r="Z55" s="206">
        <f t="shared" si="5"/>
        <v>11</v>
      </c>
      <c r="AA55" s="189">
        <f t="shared" si="9"/>
        <v>4.7746482927568605</v>
      </c>
      <c r="AB55" s="189">
        <f t="shared" si="6"/>
        <v>30.036013074787935</v>
      </c>
      <c r="AC55" s="209">
        <f t="shared" si="7"/>
        <v>2.8064678513659165</v>
      </c>
    </row>
    <row r="56" spans="20:29" ht="15.75">
      <c r="T56" s="134">
        <v>12</v>
      </c>
      <c r="U56" s="208">
        <f t="shared" si="1"/>
        <v>12</v>
      </c>
      <c r="V56" s="188">
        <f t="shared" si="8"/>
        <v>21.098593171027442</v>
      </c>
      <c r="W56" s="188">
        <f t="shared" si="2"/>
        <v>0.9424777960769379</v>
      </c>
      <c r="X56" s="188">
        <f t="shared" si="3"/>
        <v>12.401441910048616</v>
      </c>
      <c r="Y56" s="188">
        <f t="shared" si="4"/>
        <v>17.069120432764414</v>
      </c>
      <c r="Z56" s="206">
        <f t="shared" si="5"/>
        <v>12</v>
      </c>
      <c r="AA56" s="189">
        <f t="shared" si="9"/>
        <v>6.7746482927568605</v>
      </c>
      <c r="AB56" s="189">
        <f t="shared" si="6"/>
        <v>30.15527981973517</v>
      </c>
      <c r="AC56" s="209">
        <f t="shared" si="7"/>
        <v>5.4808055997535226</v>
      </c>
    </row>
    <row r="57" spans="20:29" ht="15.75">
      <c r="T57" s="134">
        <v>13</v>
      </c>
      <c r="U57" s="208">
        <f t="shared" si="1"/>
        <v>13</v>
      </c>
      <c r="V57" s="188">
        <f t="shared" si="8"/>
        <v>19.098593171027442</v>
      </c>
      <c r="W57" s="188">
        <f t="shared" si="2"/>
        <v>1.0210176124166828</v>
      </c>
      <c r="X57" s="188">
        <f t="shared" si="3"/>
        <v>9.978987519955663</v>
      </c>
      <c r="Y57" s="188">
        <f t="shared" si="4"/>
        <v>16.28422762027678</v>
      </c>
      <c r="Z57" s="206">
        <f t="shared" si="5"/>
        <v>13</v>
      </c>
      <c r="AA57" s="189">
        <f t="shared" si="9"/>
        <v>4.7746482927568605</v>
      </c>
      <c r="AB57" s="189">
        <f t="shared" si="6"/>
        <v>27.648688928409506</v>
      </c>
      <c r="AC57" s="209">
        <f t="shared" si="7"/>
        <v>4.540960371843942</v>
      </c>
    </row>
    <row r="58" spans="20:29" ht="15.75">
      <c r="T58" s="134">
        <v>14</v>
      </c>
      <c r="U58" s="208">
        <f t="shared" si="1"/>
        <v>14</v>
      </c>
      <c r="V58" s="188">
        <f t="shared" si="8"/>
        <v>21.098593171027442</v>
      </c>
      <c r="W58" s="188">
        <f t="shared" si="2"/>
        <v>1.0995574287564276</v>
      </c>
      <c r="X58" s="188">
        <f t="shared" si="3"/>
        <v>9.578560857516138</v>
      </c>
      <c r="Y58" s="188">
        <f t="shared" si="4"/>
        <v>18.798984166581594</v>
      </c>
      <c r="Z58" s="206">
        <f t="shared" si="5"/>
        <v>14</v>
      </c>
      <c r="AA58" s="189">
        <f t="shared" si="9"/>
        <v>6.7746482927568605</v>
      </c>
      <c r="AB58" s="189">
        <f t="shared" si="6"/>
        <v>26.173241463784308</v>
      </c>
      <c r="AC58" s="209">
        <f t="shared" si="7"/>
        <v>6.7746482927568605</v>
      </c>
    </row>
    <row r="59" spans="20:29" ht="15.75">
      <c r="T59" s="134">
        <v>15</v>
      </c>
      <c r="U59" s="208">
        <f t="shared" si="1"/>
        <v>15</v>
      </c>
      <c r="V59" s="188">
        <f t="shared" si="8"/>
        <v>19.098593171027442</v>
      </c>
      <c r="W59" s="188">
        <f t="shared" si="2"/>
        <v>1.1780972450961724</v>
      </c>
      <c r="X59" s="188">
        <f t="shared" si="3"/>
        <v>7.308715188033247</v>
      </c>
      <c r="Y59" s="188">
        <f t="shared" si="4"/>
        <v>17.644799330472086</v>
      </c>
      <c r="Z59" s="206">
        <f t="shared" si="5"/>
        <v>15</v>
      </c>
      <c r="AA59" s="189">
        <f t="shared" si="9"/>
        <v>4.7746482927568605</v>
      </c>
      <c r="AB59" s="189">
        <f t="shared" si="6"/>
        <v>24.697793999159106</v>
      </c>
      <c r="AC59" s="209">
        <f t="shared" si="7"/>
        <v>4.540960371843942</v>
      </c>
    </row>
    <row r="60" spans="20:29" ht="15.75">
      <c r="T60" s="134">
        <v>16</v>
      </c>
      <c r="U60" s="208">
        <f t="shared" si="1"/>
        <v>16</v>
      </c>
      <c r="V60" s="188">
        <f t="shared" si="8"/>
        <v>21.098593171027442</v>
      </c>
      <c r="W60" s="188">
        <f t="shared" si="2"/>
        <v>1.2566370614359172</v>
      </c>
      <c r="X60" s="188">
        <f t="shared" si="3"/>
        <v>6.5198238472506915</v>
      </c>
      <c r="Y60" s="188">
        <f t="shared" si="4"/>
        <v>20.065954519966077</v>
      </c>
      <c r="Z60" s="206">
        <f t="shared" si="5"/>
        <v>16</v>
      </c>
      <c r="AA60" s="189">
        <f t="shared" si="9"/>
        <v>6.7746482927568605</v>
      </c>
      <c r="AB60" s="189">
        <f t="shared" si="6"/>
        <v>22.19120310783344</v>
      </c>
      <c r="AC60" s="209">
        <f t="shared" si="7"/>
        <v>5.480805599753526</v>
      </c>
    </row>
    <row r="61" spans="20:29" ht="15.75">
      <c r="T61" s="134">
        <v>17</v>
      </c>
      <c r="U61" s="208">
        <f t="shared" si="1"/>
        <v>17</v>
      </c>
      <c r="V61" s="188">
        <f t="shared" si="8"/>
        <v>19.098593171027442</v>
      </c>
      <c r="W61" s="188">
        <f t="shared" si="2"/>
        <v>1.335176877775662</v>
      </c>
      <c r="X61" s="188">
        <f t="shared" si="3"/>
        <v>4.458478031946413</v>
      </c>
      <c r="Y61" s="188">
        <f t="shared" si="4"/>
        <v>18.570897521419564</v>
      </c>
      <c r="Z61" s="206">
        <f t="shared" si="5"/>
        <v>17</v>
      </c>
      <c r="AA61" s="189">
        <f t="shared" si="9"/>
        <v>4.7746482927568605</v>
      </c>
      <c r="AB61" s="189">
        <f t="shared" si="6"/>
        <v>22.310469852780678</v>
      </c>
      <c r="AC61" s="209">
        <f t="shared" si="7"/>
        <v>2.8064678513659183</v>
      </c>
    </row>
    <row r="62" spans="20:29" ht="15.75">
      <c r="T62" s="134">
        <v>18</v>
      </c>
      <c r="U62" s="208">
        <f t="shared" si="1"/>
        <v>18</v>
      </c>
      <c r="V62" s="188">
        <f t="shared" si="8"/>
        <v>21.098593171027442</v>
      </c>
      <c r="W62" s="188">
        <f t="shared" si="2"/>
        <v>1.413716694115407</v>
      </c>
      <c r="X62" s="188">
        <f t="shared" si="3"/>
        <v>3.300547135811147</v>
      </c>
      <c r="Y62" s="188">
        <f t="shared" si="4"/>
        <v>20.838834477984</v>
      </c>
      <c r="Z62" s="206">
        <f t="shared" si="5"/>
        <v>18</v>
      </c>
      <c r="AA62" s="189">
        <f t="shared" si="9"/>
        <v>6.7746482927568605</v>
      </c>
      <c r="AB62" s="189">
        <f t="shared" si="6"/>
        <v>19.730168059350056</v>
      </c>
      <c r="AC62" s="209">
        <f t="shared" si="7"/>
        <v>2.0934814533750963</v>
      </c>
    </row>
    <row r="63" spans="20:29" ht="15.75">
      <c r="T63" s="134">
        <v>19</v>
      </c>
      <c r="U63" s="208">
        <f t="shared" si="1"/>
        <v>19</v>
      </c>
      <c r="V63" s="188">
        <f t="shared" si="8"/>
        <v>19.098593171027442</v>
      </c>
      <c r="W63" s="188">
        <f t="shared" si="2"/>
        <v>1.4922565104551517</v>
      </c>
      <c r="X63" s="188">
        <f t="shared" si="3"/>
        <v>1.4984583498728088</v>
      </c>
      <c r="Y63" s="188">
        <f t="shared" si="4"/>
        <v>19.039718582114403</v>
      </c>
      <c r="Z63" s="206">
        <f t="shared" si="5"/>
        <v>19</v>
      </c>
      <c r="AA63" s="189">
        <f t="shared" si="9"/>
        <v>4.7746482927568605</v>
      </c>
      <c r="AB63" s="189">
        <f t="shared" si="6"/>
        <v>21.398593171027443</v>
      </c>
      <c r="AC63" s="209">
        <f t="shared" si="7"/>
        <v>1.7548958935809445E-15</v>
      </c>
    </row>
    <row r="64" spans="20:29" ht="15.75">
      <c r="T64" s="134">
        <v>20</v>
      </c>
      <c r="U64" s="208">
        <f t="shared" si="1"/>
        <v>20</v>
      </c>
      <c r="V64" s="188">
        <f t="shared" si="8"/>
        <v>21.098593171027442</v>
      </c>
      <c r="W64" s="188">
        <f t="shared" si="2"/>
        <v>1.5707963267948966</v>
      </c>
      <c r="X64" s="188">
        <f t="shared" si="3"/>
        <v>1.2924454412114915E-15</v>
      </c>
      <c r="Y64" s="188">
        <f t="shared" si="4"/>
        <v>21.098593171027442</v>
      </c>
      <c r="Z64" s="206">
        <f t="shared" si="5"/>
        <v>20</v>
      </c>
      <c r="AA64" s="189">
        <f t="shared" si="9"/>
        <v>6.7746482927568605</v>
      </c>
      <c r="AB64" s="189">
        <f t="shared" si="6"/>
        <v>19.730168059350056</v>
      </c>
      <c r="AC64" s="209">
        <f t="shared" si="7"/>
        <v>-2.0934814533750914</v>
      </c>
    </row>
    <row r="65" spans="20:29" ht="15.75">
      <c r="T65" s="134">
        <v>21</v>
      </c>
      <c r="U65" s="208">
        <f t="shared" si="1"/>
        <v>21</v>
      </c>
      <c r="V65" s="188">
        <f t="shared" si="8"/>
        <v>19.098593171027442</v>
      </c>
      <c r="W65" s="188">
        <f aca="true" t="shared" si="10" ref="W65:W84">U65*$V$42</f>
        <v>1.6493361431346414</v>
      </c>
      <c r="X65" s="188">
        <f t="shared" si="3"/>
        <v>-1.4984583498728066</v>
      </c>
      <c r="Y65" s="188">
        <f t="shared" si="4"/>
        <v>19.039718582114403</v>
      </c>
      <c r="Z65" s="206">
        <f t="shared" si="5"/>
        <v>20</v>
      </c>
      <c r="AA65" s="189">
        <f t="shared" si="9"/>
        <v>6.7746482927568605</v>
      </c>
      <c r="AB65" s="189">
        <f t="shared" si="6"/>
        <v>19.730168059350056</v>
      </c>
      <c r="AC65" s="209">
        <f t="shared" si="7"/>
        <v>-2.0934814533750914</v>
      </c>
    </row>
    <row r="66" spans="20:29" ht="15.75">
      <c r="T66" s="134">
        <v>22</v>
      </c>
      <c r="U66" s="208">
        <f t="shared" si="1"/>
        <v>22</v>
      </c>
      <c r="V66" s="188">
        <f t="shared" si="8"/>
        <v>21.098593171027442</v>
      </c>
      <c r="W66" s="188">
        <f t="shared" si="10"/>
        <v>1.7278759594743862</v>
      </c>
      <c r="X66" s="188">
        <f t="shared" si="3"/>
        <v>-3.300547135811145</v>
      </c>
      <c r="Y66" s="188">
        <f t="shared" si="4"/>
        <v>20.838834477984</v>
      </c>
      <c r="Z66" s="206">
        <f t="shared" si="5"/>
        <v>20</v>
      </c>
      <c r="AA66" s="189">
        <f t="shared" si="9"/>
        <v>6.7746482927568605</v>
      </c>
      <c r="AB66" s="189">
        <f t="shared" si="6"/>
        <v>19.730168059350056</v>
      </c>
      <c r="AC66" s="209">
        <f t="shared" si="7"/>
        <v>-2.0934814533750914</v>
      </c>
    </row>
    <row r="67" spans="20:29" ht="15.75">
      <c r="T67" s="134">
        <v>23</v>
      </c>
      <c r="U67" s="208">
        <f t="shared" si="1"/>
        <v>23</v>
      </c>
      <c r="V67" s="188">
        <f t="shared" si="8"/>
        <v>19.098593171027442</v>
      </c>
      <c r="W67" s="188">
        <f t="shared" si="10"/>
        <v>1.806415775814131</v>
      </c>
      <c r="X67" s="188">
        <f aca="true" t="shared" si="11" ref="X67:X84">V67*COS(W67+2*PI()*$V$35*$U$3)+$U$38</f>
        <v>-4.45847803194641</v>
      </c>
      <c r="Y67" s="188">
        <f aca="true" t="shared" si="12" ref="Y67:Y84">V67*SIN(W67+2*PI()*$V$35*$U$3)+$V$38</f>
        <v>18.570897521419564</v>
      </c>
      <c r="Z67" s="206">
        <f t="shared" si="5"/>
        <v>20</v>
      </c>
      <c r="AA67" s="189">
        <f t="shared" si="9"/>
        <v>6.7746482927568605</v>
      </c>
      <c r="AB67" s="189">
        <f t="shared" si="6"/>
        <v>19.730168059350056</v>
      </c>
      <c r="AC67" s="209">
        <f t="shared" si="7"/>
        <v>-2.0934814533750914</v>
      </c>
    </row>
    <row r="68" spans="20:29" ht="15.75">
      <c r="T68" s="134">
        <v>24</v>
      </c>
      <c r="U68" s="208">
        <f t="shared" si="1"/>
        <v>24</v>
      </c>
      <c r="V68" s="188">
        <f t="shared" si="8"/>
        <v>21.098593171027442</v>
      </c>
      <c r="W68" s="188">
        <f t="shared" si="10"/>
        <v>1.8849555921538759</v>
      </c>
      <c r="X68" s="188">
        <f t="shared" si="11"/>
        <v>-6.51982384725069</v>
      </c>
      <c r="Y68" s="188">
        <f t="shared" si="12"/>
        <v>20.065954519966077</v>
      </c>
      <c r="Z68" s="206">
        <f t="shared" si="5"/>
        <v>20</v>
      </c>
      <c r="AA68" s="189">
        <f t="shared" si="9"/>
        <v>6.7746482927568605</v>
      </c>
      <c r="AB68" s="189">
        <f t="shared" si="6"/>
        <v>19.730168059350056</v>
      </c>
      <c r="AC68" s="209">
        <f t="shared" si="7"/>
        <v>-2.0934814533750914</v>
      </c>
    </row>
    <row r="69" spans="20:29" ht="15.75">
      <c r="T69" s="134">
        <v>25</v>
      </c>
      <c r="U69" s="208">
        <f t="shared" si="1"/>
        <v>25</v>
      </c>
      <c r="V69" s="188">
        <f t="shared" si="8"/>
        <v>19.098593171027442</v>
      </c>
      <c r="W69" s="188">
        <f t="shared" si="10"/>
        <v>1.9634954084936207</v>
      </c>
      <c r="X69" s="188">
        <f t="shared" si="11"/>
        <v>-7.308715188033244</v>
      </c>
      <c r="Y69" s="188">
        <f t="shared" si="12"/>
        <v>17.644799330472086</v>
      </c>
      <c r="Z69" s="206">
        <f t="shared" si="5"/>
        <v>20</v>
      </c>
      <c r="AA69" s="189">
        <f t="shared" si="9"/>
        <v>6.7746482927568605</v>
      </c>
      <c r="AB69" s="189">
        <f t="shared" si="6"/>
        <v>19.730168059350056</v>
      </c>
      <c r="AC69" s="209">
        <f t="shared" si="7"/>
        <v>-2.0934814533750914</v>
      </c>
    </row>
    <row r="70" spans="20:29" ht="15.75">
      <c r="T70" s="134">
        <v>26</v>
      </c>
      <c r="U70" s="208">
        <f t="shared" si="1"/>
        <v>26</v>
      </c>
      <c r="V70" s="188">
        <f t="shared" si="8"/>
        <v>21.098593171027442</v>
      </c>
      <c r="W70" s="188">
        <f t="shared" si="10"/>
        <v>2.0420352248333655</v>
      </c>
      <c r="X70" s="188">
        <f t="shared" si="11"/>
        <v>-9.578560857516136</v>
      </c>
      <c r="Y70" s="188">
        <f t="shared" si="12"/>
        <v>18.798984166581597</v>
      </c>
      <c r="Z70" s="206">
        <f t="shared" si="5"/>
        <v>20</v>
      </c>
      <c r="AA70" s="189">
        <f t="shared" si="9"/>
        <v>6.7746482927568605</v>
      </c>
      <c r="AB70" s="189">
        <f t="shared" si="6"/>
        <v>19.730168059350056</v>
      </c>
      <c r="AC70" s="209">
        <f t="shared" si="7"/>
        <v>-2.0934814533750914</v>
      </c>
    </row>
    <row r="71" spans="20:29" ht="15.75">
      <c r="T71" s="134">
        <v>27</v>
      </c>
      <c r="U71" s="208">
        <f t="shared" si="1"/>
        <v>27</v>
      </c>
      <c r="V71" s="188">
        <f t="shared" si="8"/>
        <v>19.098593171027442</v>
      </c>
      <c r="W71" s="188">
        <f t="shared" si="10"/>
        <v>2.1205750411731104</v>
      </c>
      <c r="X71" s="188">
        <f t="shared" si="11"/>
        <v>-9.978987519955659</v>
      </c>
      <c r="Y71" s="188">
        <f t="shared" si="12"/>
        <v>16.284227620276784</v>
      </c>
      <c r="Z71" s="206">
        <f t="shared" si="5"/>
        <v>20</v>
      </c>
      <c r="AA71" s="189">
        <f t="shared" si="9"/>
        <v>6.7746482927568605</v>
      </c>
      <c r="AB71" s="189">
        <f t="shared" si="6"/>
        <v>19.730168059350056</v>
      </c>
      <c r="AC71" s="209">
        <f t="shared" si="7"/>
        <v>-2.0934814533750914</v>
      </c>
    </row>
    <row r="72" spans="20:29" ht="15.75">
      <c r="T72" s="134">
        <v>28</v>
      </c>
      <c r="U72" s="208">
        <f t="shared" si="1"/>
        <v>28</v>
      </c>
      <c r="V72" s="188">
        <f t="shared" si="8"/>
        <v>21.098593171027442</v>
      </c>
      <c r="W72" s="188">
        <f t="shared" si="10"/>
        <v>2.199114857512855</v>
      </c>
      <c r="X72" s="188">
        <f t="shared" si="11"/>
        <v>-12.401441910048614</v>
      </c>
      <c r="Y72" s="188">
        <f t="shared" si="12"/>
        <v>17.069120432764414</v>
      </c>
      <c r="Z72" s="206">
        <f t="shared" si="5"/>
        <v>20</v>
      </c>
      <c r="AA72" s="189">
        <f t="shared" si="9"/>
        <v>6.7746482927568605</v>
      </c>
      <c r="AB72" s="189">
        <f t="shared" si="6"/>
        <v>19.730168059350056</v>
      </c>
      <c r="AC72" s="209">
        <f t="shared" si="7"/>
        <v>-2.0934814533750914</v>
      </c>
    </row>
    <row r="73" spans="20:29" ht="15.75">
      <c r="T73" s="134">
        <v>29</v>
      </c>
      <c r="U73" s="208">
        <f t="shared" si="1"/>
        <v>29</v>
      </c>
      <c r="V73" s="188">
        <f t="shared" si="8"/>
        <v>19.098593171027442</v>
      </c>
      <c r="W73" s="188">
        <f t="shared" si="10"/>
        <v>2.2776546738526</v>
      </c>
      <c r="X73" s="188">
        <f t="shared" si="11"/>
        <v>-12.403544060775944</v>
      </c>
      <c r="Y73" s="188">
        <f t="shared" si="12"/>
        <v>14.522684181817281</v>
      </c>
      <c r="Z73" s="206">
        <f t="shared" si="5"/>
        <v>20</v>
      </c>
      <c r="AA73" s="189">
        <f t="shared" si="9"/>
        <v>6.7746482927568605</v>
      </c>
      <c r="AB73" s="189">
        <f t="shared" si="6"/>
        <v>19.730168059350056</v>
      </c>
      <c r="AC73" s="209">
        <f t="shared" si="7"/>
        <v>-2.0934814533750914</v>
      </c>
    </row>
    <row r="74" spans="20:29" ht="15.75">
      <c r="T74" s="134">
        <v>30</v>
      </c>
      <c r="U74" s="208">
        <f t="shared" si="1"/>
        <v>30</v>
      </c>
      <c r="V74" s="188">
        <f t="shared" si="8"/>
        <v>21.098593171027442</v>
      </c>
      <c r="W74" s="188">
        <f t="shared" si="10"/>
        <v>2.356194490192345</v>
      </c>
      <c r="X74" s="188">
        <f t="shared" si="11"/>
        <v>-14.918958304729687</v>
      </c>
      <c r="Y74" s="188">
        <f t="shared" si="12"/>
        <v>14.918958304729689</v>
      </c>
      <c r="Z74" s="206">
        <f t="shared" si="5"/>
        <v>20</v>
      </c>
      <c r="AA74" s="189">
        <f t="shared" si="9"/>
        <v>6.7746482927568605</v>
      </c>
      <c r="AB74" s="189">
        <f t="shared" si="6"/>
        <v>19.730168059350056</v>
      </c>
      <c r="AC74" s="209">
        <f t="shared" si="7"/>
        <v>-2.0934814533750914</v>
      </c>
    </row>
    <row r="75" spans="20:29" ht="15.75">
      <c r="T75" s="134">
        <v>31</v>
      </c>
      <c r="U75" s="208">
        <f t="shared" si="1"/>
        <v>31</v>
      </c>
      <c r="V75" s="188">
        <f t="shared" si="8"/>
        <v>19.098593171027442</v>
      </c>
      <c r="W75" s="188">
        <f t="shared" si="10"/>
        <v>2.4347343065320897</v>
      </c>
      <c r="X75" s="188">
        <f t="shared" si="11"/>
        <v>-14.52268418181728</v>
      </c>
      <c r="Y75" s="188">
        <f t="shared" si="12"/>
        <v>12.403544060775948</v>
      </c>
      <c r="Z75" s="206">
        <f t="shared" si="5"/>
        <v>20</v>
      </c>
      <c r="AA75" s="189">
        <f t="shared" si="9"/>
        <v>6.7746482927568605</v>
      </c>
      <c r="AB75" s="189">
        <f t="shared" si="6"/>
        <v>19.730168059350056</v>
      </c>
      <c r="AC75" s="209">
        <f t="shared" si="7"/>
        <v>-2.0934814533750914</v>
      </c>
    </row>
    <row r="76" spans="20:29" ht="15.75">
      <c r="T76" s="134">
        <v>32</v>
      </c>
      <c r="U76" s="208">
        <f t="shared" si="1"/>
        <v>32</v>
      </c>
      <c r="V76" s="188">
        <f t="shared" si="8"/>
        <v>21.098593171027442</v>
      </c>
      <c r="W76" s="188">
        <f t="shared" si="10"/>
        <v>2.5132741228718345</v>
      </c>
      <c r="X76" s="188">
        <f t="shared" si="11"/>
        <v>-17.06912043276441</v>
      </c>
      <c r="Y76" s="188">
        <f t="shared" si="12"/>
        <v>12.401441910048618</v>
      </c>
      <c r="Z76" s="206">
        <f t="shared" si="5"/>
        <v>20</v>
      </c>
      <c r="AA76" s="189">
        <f t="shared" si="9"/>
        <v>6.7746482927568605</v>
      </c>
      <c r="AB76" s="189">
        <f t="shared" si="6"/>
        <v>19.730168059350056</v>
      </c>
      <c r="AC76" s="209">
        <f t="shared" si="7"/>
        <v>-2.0934814533750914</v>
      </c>
    </row>
    <row r="77" spans="20:29" ht="15.75">
      <c r="T77" s="134">
        <v>33</v>
      </c>
      <c r="U77" s="208">
        <f t="shared" si="1"/>
        <v>33</v>
      </c>
      <c r="V77" s="188">
        <f t="shared" si="8"/>
        <v>19.098593171027442</v>
      </c>
      <c r="W77" s="188">
        <f t="shared" si="10"/>
        <v>2.5918139392115793</v>
      </c>
      <c r="X77" s="188">
        <f t="shared" si="11"/>
        <v>-16.28422762027678</v>
      </c>
      <c r="Y77" s="188">
        <f t="shared" si="12"/>
        <v>9.978987519955663</v>
      </c>
      <c r="Z77" s="206">
        <f t="shared" si="5"/>
        <v>20</v>
      </c>
      <c r="AA77" s="189">
        <f t="shared" si="9"/>
        <v>6.7746482927568605</v>
      </c>
      <c r="AB77" s="189">
        <f t="shared" si="6"/>
        <v>19.730168059350056</v>
      </c>
      <c r="AC77" s="209">
        <f t="shared" si="7"/>
        <v>-2.0934814533750914</v>
      </c>
    </row>
    <row r="78" spans="20:29" ht="15.75">
      <c r="T78" s="134">
        <v>34</v>
      </c>
      <c r="U78" s="208">
        <f t="shared" si="1"/>
        <v>34</v>
      </c>
      <c r="V78" s="188">
        <f t="shared" si="8"/>
        <v>21.098593171027442</v>
      </c>
      <c r="W78" s="188">
        <f t="shared" si="10"/>
        <v>2.670353755551324</v>
      </c>
      <c r="X78" s="188">
        <f t="shared" si="11"/>
        <v>-18.798984166581594</v>
      </c>
      <c r="Y78" s="188">
        <f t="shared" si="12"/>
        <v>9.57856085751614</v>
      </c>
      <c r="Z78" s="206">
        <f t="shared" si="5"/>
        <v>20</v>
      </c>
      <c r="AA78" s="189">
        <f t="shared" si="9"/>
        <v>6.7746482927568605</v>
      </c>
      <c r="AB78" s="189">
        <f t="shared" si="6"/>
        <v>19.730168059350056</v>
      </c>
      <c r="AC78" s="209">
        <f t="shared" si="7"/>
        <v>-2.0934814533750914</v>
      </c>
    </row>
    <row r="79" spans="20:29" ht="15.75">
      <c r="T79" s="134">
        <v>35</v>
      </c>
      <c r="U79" s="208">
        <f t="shared" si="1"/>
        <v>35</v>
      </c>
      <c r="V79" s="188">
        <f t="shared" si="8"/>
        <v>19.098593171027442</v>
      </c>
      <c r="W79" s="188">
        <f t="shared" si="10"/>
        <v>2.748893571891069</v>
      </c>
      <c r="X79" s="188">
        <f t="shared" si="11"/>
        <v>-17.644799330472086</v>
      </c>
      <c r="Y79" s="188">
        <f t="shared" si="12"/>
        <v>7.308715188033248</v>
      </c>
      <c r="Z79" s="206">
        <f t="shared" si="5"/>
        <v>20</v>
      </c>
      <c r="AA79" s="189">
        <f t="shared" si="9"/>
        <v>6.7746482927568605</v>
      </c>
      <c r="AB79" s="189">
        <f t="shared" si="6"/>
        <v>19.730168059350056</v>
      </c>
      <c r="AC79" s="209">
        <f t="shared" si="7"/>
        <v>-2.0934814533750914</v>
      </c>
    </row>
    <row r="80" spans="20:29" ht="15.75">
      <c r="T80" s="134">
        <v>36</v>
      </c>
      <c r="U80" s="208">
        <f t="shared" si="1"/>
        <v>36</v>
      </c>
      <c r="V80" s="188">
        <f t="shared" si="8"/>
        <v>21.098593171027442</v>
      </c>
      <c r="W80" s="188">
        <f t="shared" si="10"/>
        <v>2.827433388230814</v>
      </c>
      <c r="X80" s="188">
        <f t="shared" si="11"/>
        <v>-20.065954519966077</v>
      </c>
      <c r="Y80" s="188">
        <f t="shared" si="12"/>
        <v>6.519823847250693</v>
      </c>
      <c r="Z80" s="206">
        <f t="shared" si="5"/>
        <v>20</v>
      </c>
      <c r="AA80" s="189">
        <f t="shared" si="9"/>
        <v>6.7746482927568605</v>
      </c>
      <c r="AB80" s="189">
        <f t="shared" si="6"/>
        <v>19.730168059350056</v>
      </c>
      <c r="AC80" s="209">
        <f t="shared" si="7"/>
        <v>-2.0934814533750914</v>
      </c>
    </row>
    <row r="81" spans="20:29" ht="15.75">
      <c r="T81" s="134">
        <v>37</v>
      </c>
      <c r="U81" s="208">
        <f t="shared" si="1"/>
        <v>37</v>
      </c>
      <c r="V81" s="188">
        <f t="shared" si="8"/>
        <v>19.098593171027442</v>
      </c>
      <c r="W81" s="188">
        <f t="shared" si="10"/>
        <v>2.9059732045705586</v>
      </c>
      <c r="X81" s="188">
        <f t="shared" si="11"/>
        <v>-18.570897521419564</v>
      </c>
      <c r="Y81" s="188">
        <f t="shared" si="12"/>
        <v>4.458478031946414</v>
      </c>
      <c r="Z81" s="206">
        <f t="shared" si="5"/>
        <v>20</v>
      </c>
      <c r="AA81" s="189">
        <f t="shared" si="9"/>
        <v>6.7746482927568605</v>
      </c>
      <c r="AB81" s="189">
        <f t="shared" si="6"/>
        <v>19.730168059350056</v>
      </c>
      <c r="AC81" s="209">
        <f t="shared" si="7"/>
        <v>-2.0934814533750914</v>
      </c>
    </row>
    <row r="82" spans="20:29" ht="15.75">
      <c r="T82" s="134">
        <v>38</v>
      </c>
      <c r="U82" s="208">
        <f t="shared" si="1"/>
        <v>38</v>
      </c>
      <c r="V82" s="188">
        <f t="shared" si="8"/>
        <v>21.098593171027442</v>
      </c>
      <c r="W82" s="188">
        <f t="shared" si="10"/>
        <v>2.9845130209103035</v>
      </c>
      <c r="X82" s="188">
        <f t="shared" si="11"/>
        <v>-20.838834477983998</v>
      </c>
      <c r="Y82" s="188">
        <f t="shared" si="12"/>
        <v>3.3005471358111484</v>
      </c>
      <c r="Z82" s="206">
        <f t="shared" si="5"/>
        <v>20</v>
      </c>
      <c r="AA82" s="189">
        <f t="shared" si="9"/>
        <v>6.7746482927568605</v>
      </c>
      <c r="AB82" s="189">
        <f t="shared" si="6"/>
        <v>19.730168059350056</v>
      </c>
      <c r="AC82" s="209">
        <f t="shared" si="7"/>
        <v>-2.0934814533750914</v>
      </c>
    </row>
    <row r="83" spans="20:29" ht="15.75">
      <c r="T83" s="134">
        <v>39</v>
      </c>
      <c r="U83" s="208">
        <f t="shared" si="1"/>
        <v>39</v>
      </c>
      <c r="V83" s="188">
        <f t="shared" si="8"/>
        <v>19.098593171027442</v>
      </c>
      <c r="W83" s="188">
        <f t="shared" si="10"/>
        <v>3.0630528372500483</v>
      </c>
      <c r="X83" s="188">
        <f t="shared" si="11"/>
        <v>-19.039718582114403</v>
      </c>
      <c r="Y83" s="188">
        <f t="shared" si="12"/>
        <v>1.4984583498728101</v>
      </c>
      <c r="Z83" s="206">
        <f t="shared" si="5"/>
        <v>20</v>
      </c>
      <c r="AA83" s="189">
        <f t="shared" si="9"/>
        <v>6.7746482927568605</v>
      </c>
      <c r="AB83" s="189">
        <f t="shared" si="6"/>
        <v>19.730168059350056</v>
      </c>
      <c r="AC83" s="209">
        <f t="shared" si="7"/>
        <v>-2.0934814533750914</v>
      </c>
    </row>
    <row r="84" spans="20:29" ht="15.75">
      <c r="T84" s="134">
        <v>40</v>
      </c>
      <c r="U84" s="208">
        <f t="shared" si="1"/>
        <v>40</v>
      </c>
      <c r="V84" s="188">
        <f t="shared" si="8"/>
        <v>21.098593171027442</v>
      </c>
      <c r="W84" s="188">
        <f t="shared" si="10"/>
        <v>3.141592653589793</v>
      </c>
      <c r="X84" s="188">
        <f t="shared" si="11"/>
        <v>-21.098593171027442</v>
      </c>
      <c r="Y84" s="188">
        <f t="shared" si="12"/>
        <v>2.584890882422983E-15</v>
      </c>
      <c r="Z84" s="206">
        <f t="shared" si="5"/>
        <v>20</v>
      </c>
      <c r="AA84" s="189">
        <f t="shared" si="9"/>
        <v>6.7746482927568605</v>
      </c>
      <c r="AB84" s="189">
        <f t="shared" si="6"/>
        <v>19.730168059350056</v>
      </c>
      <c r="AC84" s="209">
        <f t="shared" si="7"/>
        <v>-2.0934814533750914</v>
      </c>
    </row>
    <row r="85" spans="20:29" ht="15.75">
      <c r="T85" s="134">
        <v>41</v>
      </c>
      <c r="U85" s="208">
        <f t="shared" si="1"/>
        <v>41</v>
      </c>
      <c r="V85" s="188">
        <f t="shared" si="8"/>
        <v>19.098593171027442</v>
      </c>
      <c r="W85" s="188">
        <f aca="true" t="shared" si="13" ref="W85:W124">U85*$V$42</f>
        <v>3.220132469929538</v>
      </c>
      <c r="X85" s="188">
        <f aca="true" t="shared" si="14" ref="X85:X124">V85*COS(W85+2*PI()*$V$35*$U$3)+$U$38</f>
        <v>-19.039718582114403</v>
      </c>
      <c r="Y85" s="188">
        <f aca="true" t="shared" si="15" ref="Y85:Y124">V85*SIN(W85+2*PI()*$V$35*$U$3)+$V$38</f>
        <v>-1.4984583498728055</v>
      </c>
      <c r="Z85" s="206">
        <f aca="true" t="shared" si="16" ref="Z85:Z124">MIN(T85,2*$AA$30)</f>
        <v>20</v>
      </c>
      <c r="AA85" s="189">
        <f t="shared" si="9"/>
        <v>6.7746482927568605</v>
      </c>
      <c r="AB85" s="189">
        <f aca="true" t="shared" si="17" ref="AB85:AB124">AA85*COS(Z85*$AA$42+2*PI()*$AA$35*$U$3+$AA$42+PI())+$Z$38</f>
        <v>19.730168059350056</v>
      </c>
      <c r="AC85" s="209">
        <f aca="true" t="shared" si="18" ref="AC85:AC124">AA85*SIN(Z85*$AA$42+2*PI()*$AA$35*$U$3+$AA$42+PI())+$AA$38</f>
        <v>-2.0934814533750914</v>
      </c>
    </row>
    <row r="86" spans="20:29" ht="15.75">
      <c r="T86" s="134">
        <v>42</v>
      </c>
      <c r="U86" s="208">
        <f t="shared" si="1"/>
        <v>42</v>
      </c>
      <c r="V86" s="188">
        <f t="shared" si="8"/>
        <v>21.098593171027442</v>
      </c>
      <c r="W86" s="188">
        <f t="shared" si="13"/>
        <v>3.2986722862692828</v>
      </c>
      <c r="X86" s="188">
        <f t="shared" si="14"/>
        <v>-20.838834477984</v>
      </c>
      <c r="Y86" s="188">
        <f t="shared" si="15"/>
        <v>-3.300547135811143</v>
      </c>
      <c r="Z86" s="206">
        <f t="shared" si="16"/>
        <v>20</v>
      </c>
      <c r="AA86" s="189">
        <f t="shared" si="9"/>
        <v>6.7746482927568605</v>
      </c>
      <c r="AB86" s="189">
        <f t="shared" si="17"/>
        <v>19.730168059350056</v>
      </c>
      <c r="AC86" s="209">
        <f t="shared" si="18"/>
        <v>-2.0934814533750914</v>
      </c>
    </row>
    <row r="87" spans="20:29" ht="15.75">
      <c r="T87" s="134">
        <v>43</v>
      </c>
      <c r="U87" s="208">
        <f t="shared" si="1"/>
        <v>43</v>
      </c>
      <c r="V87" s="188">
        <f t="shared" si="8"/>
        <v>19.098593171027442</v>
      </c>
      <c r="W87" s="188">
        <f t="shared" si="13"/>
        <v>3.3772121026090276</v>
      </c>
      <c r="X87" s="188">
        <f t="shared" si="14"/>
        <v>-18.570897521419564</v>
      </c>
      <c r="Y87" s="188">
        <f t="shared" si="15"/>
        <v>-4.4584780319464095</v>
      </c>
      <c r="Z87" s="206">
        <f t="shared" si="16"/>
        <v>20</v>
      </c>
      <c r="AA87" s="189">
        <f t="shared" si="9"/>
        <v>6.7746482927568605</v>
      </c>
      <c r="AB87" s="189">
        <f t="shared" si="17"/>
        <v>19.730168059350056</v>
      </c>
      <c r="AC87" s="209">
        <f t="shared" si="18"/>
        <v>-2.0934814533750914</v>
      </c>
    </row>
    <row r="88" spans="20:29" ht="15.75">
      <c r="T88" s="134">
        <v>44</v>
      </c>
      <c r="U88" s="208">
        <f t="shared" si="1"/>
        <v>44</v>
      </c>
      <c r="V88" s="188">
        <f t="shared" si="8"/>
        <v>21.098593171027442</v>
      </c>
      <c r="W88" s="188">
        <f t="shared" si="13"/>
        <v>3.4557519189487724</v>
      </c>
      <c r="X88" s="188">
        <f t="shared" si="14"/>
        <v>-20.065954519966077</v>
      </c>
      <c r="Y88" s="188">
        <f t="shared" si="15"/>
        <v>-6.519823847250688</v>
      </c>
      <c r="Z88" s="206">
        <f t="shared" si="16"/>
        <v>20</v>
      </c>
      <c r="AA88" s="189">
        <f t="shared" si="9"/>
        <v>6.7746482927568605</v>
      </c>
      <c r="AB88" s="189">
        <f t="shared" si="17"/>
        <v>19.730168059350056</v>
      </c>
      <c r="AC88" s="209">
        <f t="shared" si="18"/>
        <v>-2.0934814533750914</v>
      </c>
    </row>
    <row r="89" spans="20:29" ht="15.75">
      <c r="T89" s="134">
        <v>45</v>
      </c>
      <c r="U89" s="208">
        <f t="shared" si="1"/>
        <v>45</v>
      </c>
      <c r="V89" s="188">
        <f t="shared" si="8"/>
        <v>19.098593171027442</v>
      </c>
      <c r="W89" s="188">
        <f t="shared" si="13"/>
        <v>3.5342917352885173</v>
      </c>
      <c r="X89" s="188">
        <f t="shared" si="14"/>
        <v>-17.64479933047209</v>
      </c>
      <c r="Y89" s="188">
        <f t="shared" si="15"/>
        <v>-7.3087151880332435</v>
      </c>
      <c r="Z89" s="206">
        <f t="shared" si="16"/>
        <v>20</v>
      </c>
      <c r="AA89" s="189">
        <f t="shared" si="9"/>
        <v>6.7746482927568605</v>
      </c>
      <c r="AB89" s="189">
        <f t="shared" si="17"/>
        <v>19.730168059350056</v>
      </c>
      <c r="AC89" s="209">
        <f t="shared" si="18"/>
        <v>-2.0934814533750914</v>
      </c>
    </row>
    <row r="90" spans="20:29" ht="15.75">
      <c r="T90" s="134">
        <v>46</v>
      </c>
      <c r="U90" s="208">
        <f t="shared" si="1"/>
        <v>46</v>
      </c>
      <c r="V90" s="188">
        <f t="shared" si="8"/>
        <v>21.098593171027442</v>
      </c>
      <c r="W90" s="188">
        <f t="shared" si="13"/>
        <v>3.612831551628262</v>
      </c>
      <c r="X90" s="188">
        <f t="shared" si="14"/>
        <v>-18.798984166581597</v>
      </c>
      <c r="Y90" s="188">
        <f t="shared" si="15"/>
        <v>-9.578560857516136</v>
      </c>
      <c r="Z90" s="206">
        <f t="shared" si="16"/>
        <v>20</v>
      </c>
      <c r="AA90" s="189">
        <f t="shared" si="9"/>
        <v>6.7746482927568605</v>
      </c>
      <c r="AB90" s="189">
        <f t="shared" si="17"/>
        <v>19.730168059350056</v>
      </c>
      <c r="AC90" s="209">
        <f t="shared" si="18"/>
        <v>-2.0934814533750914</v>
      </c>
    </row>
    <row r="91" spans="20:29" ht="15.75">
      <c r="T91" s="134">
        <v>47</v>
      </c>
      <c r="U91" s="208">
        <f t="shared" si="1"/>
        <v>47</v>
      </c>
      <c r="V91" s="188">
        <f t="shared" si="8"/>
        <v>19.098593171027442</v>
      </c>
      <c r="W91" s="188">
        <f t="shared" si="13"/>
        <v>3.691371367968007</v>
      </c>
      <c r="X91" s="188">
        <f t="shared" si="14"/>
        <v>-16.284227620276784</v>
      </c>
      <c r="Y91" s="188">
        <f t="shared" si="15"/>
        <v>-9.978987519955657</v>
      </c>
      <c r="Z91" s="206">
        <f t="shared" si="16"/>
        <v>20</v>
      </c>
      <c r="AA91" s="189">
        <f t="shared" si="9"/>
        <v>6.7746482927568605</v>
      </c>
      <c r="AB91" s="189">
        <f t="shared" si="17"/>
        <v>19.730168059350056</v>
      </c>
      <c r="AC91" s="209">
        <f t="shared" si="18"/>
        <v>-2.0934814533750914</v>
      </c>
    </row>
    <row r="92" spans="20:29" ht="15.75">
      <c r="T92" s="134">
        <v>48</v>
      </c>
      <c r="U92" s="208">
        <f t="shared" si="1"/>
        <v>48</v>
      </c>
      <c r="V92" s="188">
        <f t="shared" si="8"/>
        <v>21.098593171027442</v>
      </c>
      <c r="W92" s="188">
        <f t="shared" si="13"/>
        <v>3.7699111843077517</v>
      </c>
      <c r="X92" s="188">
        <f t="shared" si="14"/>
        <v>-17.069120432764414</v>
      </c>
      <c r="Y92" s="188">
        <f t="shared" si="15"/>
        <v>-12.401441910048614</v>
      </c>
      <c r="Z92" s="206">
        <f t="shared" si="16"/>
        <v>20</v>
      </c>
      <c r="AA92" s="189">
        <f t="shared" si="9"/>
        <v>6.7746482927568605</v>
      </c>
      <c r="AB92" s="189">
        <f t="shared" si="17"/>
        <v>19.730168059350056</v>
      </c>
      <c r="AC92" s="209">
        <f t="shared" si="18"/>
        <v>-2.0934814533750914</v>
      </c>
    </row>
    <row r="93" spans="20:29" ht="15.75">
      <c r="T93" s="134">
        <v>49</v>
      </c>
      <c r="U93" s="208">
        <f t="shared" si="1"/>
        <v>49</v>
      </c>
      <c r="V93" s="188">
        <f t="shared" si="8"/>
        <v>19.098593171027442</v>
      </c>
      <c r="W93" s="188">
        <f t="shared" si="13"/>
        <v>3.8484510006474966</v>
      </c>
      <c r="X93" s="188">
        <f t="shared" si="14"/>
        <v>-14.522684181817281</v>
      </c>
      <c r="Y93" s="188">
        <f t="shared" si="15"/>
        <v>-12.403544060775944</v>
      </c>
      <c r="Z93" s="206">
        <f t="shared" si="16"/>
        <v>20</v>
      </c>
      <c r="AA93" s="189">
        <f t="shared" si="9"/>
        <v>6.7746482927568605</v>
      </c>
      <c r="AB93" s="189">
        <f t="shared" si="17"/>
        <v>19.730168059350056</v>
      </c>
      <c r="AC93" s="209">
        <f t="shared" si="18"/>
        <v>-2.0934814533750914</v>
      </c>
    </row>
    <row r="94" spans="20:29" ht="15.75">
      <c r="T94" s="134">
        <v>50</v>
      </c>
      <c r="U94" s="208">
        <f t="shared" si="1"/>
        <v>50</v>
      </c>
      <c r="V94" s="188">
        <f t="shared" si="8"/>
        <v>21.098593171027442</v>
      </c>
      <c r="W94" s="188">
        <f t="shared" si="13"/>
        <v>3.9269908169872414</v>
      </c>
      <c r="X94" s="188">
        <f t="shared" si="14"/>
        <v>-14.91895830472969</v>
      </c>
      <c r="Y94" s="188">
        <f t="shared" si="15"/>
        <v>-14.918958304729687</v>
      </c>
      <c r="Z94" s="206">
        <f t="shared" si="16"/>
        <v>20</v>
      </c>
      <c r="AA94" s="189">
        <f t="shared" si="9"/>
        <v>6.7746482927568605</v>
      </c>
      <c r="AB94" s="189">
        <f t="shared" si="17"/>
        <v>19.730168059350056</v>
      </c>
      <c r="AC94" s="209">
        <f t="shared" si="18"/>
        <v>-2.0934814533750914</v>
      </c>
    </row>
    <row r="95" spans="20:29" ht="15.75">
      <c r="T95" s="134">
        <v>51</v>
      </c>
      <c r="U95" s="208">
        <f t="shared" si="1"/>
        <v>51</v>
      </c>
      <c r="V95" s="188">
        <f t="shared" si="8"/>
        <v>19.098593171027442</v>
      </c>
      <c r="W95" s="188">
        <f t="shared" si="13"/>
        <v>4.005530633326986</v>
      </c>
      <c r="X95" s="188">
        <f t="shared" si="14"/>
        <v>-12.403544060775955</v>
      </c>
      <c r="Y95" s="188">
        <f t="shared" si="15"/>
        <v>-14.522684181817272</v>
      </c>
      <c r="Z95" s="206">
        <f t="shared" si="16"/>
        <v>20</v>
      </c>
      <c r="AA95" s="189">
        <f t="shared" si="9"/>
        <v>6.7746482927568605</v>
      </c>
      <c r="AB95" s="189">
        <f t="shared" si="17"/>
        <v>19.730168059350056</v>
      </c>
      <c r="AC95" s="209">
        <f t="shared" si="18"/>
        <v>-2.0934814533750914</v>
      </c>
    </row>
    <row r="96" spans="20:29" ht="15.75">
      <c r="T96" s="134">
        <v>52</v>
      </c>
      <c r="U96" s="208">
        <f t="shared" si="1"/>
        <v>52</v>
      </c>
      <c r="V96" s="188">
        <f t="shared" si="8"/>
        <v>21.098593171027442</v>
      </c>
      <c r="W96" s="188">
        <f t="shared" si="13"/>
        <v>4.084070449666731</v>
      </c>
      <c r="X96" s="188">
        <f t="shared" si="14"/>
        <v>-12.401441910048618</v>
      </c>
      <c r="Y96" s="188">
        <f t="shared" si="15"/>
        <v>-17.06912043276441</v>
      </c>
      <c r="Z96" s="206">
        <f t="shared" si="16"/>
        <v>20</v>
      </c>
      <c r="AA96" s="189">
        <f t="shared" si="9"/>
        <v>6.7746482927568605</v>
      </c>
      <c r="AB96" s="189">
        <f t="shared" si="17"/>
        <v>19.730168059350056</v>
      </c>
      <c r="AC96" s="209">
        <f t="shared" si="18"/>
        <v>-2.0934814533750914</v>
      </c>
    </row>
    <row r="97" spans="20:29" ht="15.75">
      <c r="T97" s="134">
        <v>53</v>
      </c>
      <c r="U97" s="208">
        <f t="shared" si="1"/>
        <v>53</v>
      </c>
      <c r="V97" s="188">
        <f t="shared" si="8"/>
        <v>19.098593171027442</v>
      </c>
      <c r="W97" s="188">
        <f t="shared" si="13"/>
        <v>4.162610266006476</v>
      </c>
      <c r="X97" s="188">
        <f t="shared" si="14"/>
        <v>-9.978987519955655</v>
      </c>
      <c r="Y97" s="188">
        <f t="shared" si="15"/>
        <v>-16.284227620276784</v>
      </c>
      <c r="Z97" s="206">
        <f t="shared" si="16"/>
        <v>20</v>
      </c>
      <c r="AA97" s="189">
        <f t="shared" si="9"/>
        <v>6.7746482927568605</v>
      </c>
      <c r="AB97" s="189">
        <f t="shared" si="17"/>
        <v>19.730168059350056</v>
      </c>
      <c r="AC97" s="209">
        <f t="shared" si="18"/>
        <v>-2.0934814533750914</v>
      </c>
    </row>
    <row r="98" spans="20:29" ht="15.75">
      <c r="T98" s="134">
        <v>54</v>
      </c>
      <c r="U98" s="208">
        <f t="shared" si="1"/>
        <v>54</v>
      </c>
      <c r="V98" s="188">
        <f t="shared" si="8"/>
        <v>21.098593171027442</v>
      </c>
      <c r="W98" s="188">
        <f t="shared" si="13"/>
        <v>4.241150082346221</v>
      </c>
      <c r="X98" s="188">
        <f t="shared" si="14"/>
        <v>-9.578560857516141</v>
      </c>
      <c r="Y98" s="188">
        <f t="shared" si="15"/>
        <v>-18.798984166581594</v>
      </c>
      <c r="Z98" s="206">
        <f t="shared" si="16"/>
        <v>20</v>
      </c>
      <c r="AA98" s="189">
        <f t="shared" si="9"/>
        <v>6.7746482927568605</v>
      </c>
      <c r="AB98" s="189">
        <f t="shared" si="17"/>
        <v>19.730168059350056</v>
      </c>
      <c r="AC98" s="209">
        <f t="shared" si="18"/>
        <v>-2.0934814533750914</v>
      </c>
    </row>
    <row r="99" spans="20:29" ht="15.75">
      <c r="T99" s="134">
        <v>55</v>
      </c>
      <c r="U99" s="208">
        <f t="shared" si="1"/>
        <v>55</v>
      </c>
      <c r="V99" s="188">
        <f t="shared" si="8"/>
        <v>19.098593171027442</v>
      </c>
      <c r="W99" s="188">
        <f t="shared" si="13"/>
        <v>4.319689898685965</v>
      </c>
      <c r="X99" s="188">
        <f t="shared" si="14"/>
        <v>-7.308715188033256</v>
      </c>
      <c r="Y99" s="188">
        <f t="shared" si="15"/>
        <v>-17.644799330472082</v>
      </c>
      <c r="Z99" s="206">
        <f t="shared" si="16"/>
        <v>20</v>
      </c>
      <c r="AA99" s="189">
        <f t="shared" si="9"/>
        <v>6.7746482927568605</v>
      </c>
      <c r="AB99" s="189">
        <f t="shared" si="17"/>
        <v>19.730168059350056</v>
      </c>
      <c r="AC99" s="209">
        <f t="shared" si="18"/>
        <v>-2.0934814533750914</v>
      </c>
    </row>
    <row r="100" spans="20:29" ht="15.75">
      <c r="T100" s="134">
        <v>56</v>
      </c>
      <c r="U100" s="208">
        <f t="shared" si="1"/>
        <v>56</v>
      </c>
      <c r="V100" s="188">
        <f t="shared" si="8"/>
        <v>21.098593171027442</v>
      </c>
      <c r="W100" s="188">
        <f t="shared" si="13"/>
        <v>4.39822971502571</v>
      </c>
      <c r="X100" s="188">
        <f t="shared" si="14"/>
        <v>-6.519823847250694</v>
      </c>
      <c r="Y100" s="188">
        <f t="shared" si="15"/>
        <v>-20.065954519966077</v>
      </c>
      <c r="Z100" s="206">
        <f t="shared" si="16"/>
        <v>20</v>
      </c>
      <c r="AA100" s="189">
        <f t="shared" si="9"/>
        <v>6.7746482927568605</v>
      </c>
      <c r="AB100" s="189">
        <f t="shared" si="17"/>
        <v>19.730168059350056</v>
      </c>
      <c r="AC100" s="209">
        <f t="shared" si="18"/>
        <v>-2.0934814533750914</v>
      </c>
    </row>
    <row r="101" spans="20:29" ht="15.75">
      <c r="T101" s="134">
        <v>57</v>
      </c>
      <c r="U101" s="208">
        <f t="shared" si="1"/>
        <v>57</v>
      </c>
      <c r="V101" s="188">
        <f t="shared" si="8"/>
        <v>19.098593171027442</v>
      </c>
      <c r="W101" s="188">
        <f t="shared" si="13"/>
        <v>4.476769531365456</v>
      </c>
      <c r="X101" s="188">
        <f t="shared" si="14"/>
        <v>-4.458478031946407</v>
      </c>
      <c r="Y101" s="188">
        <f t="shared" si="15"/>
        <v>-18.570897521419564</v>
      </c>
      <c r="Z101" s="206">
        <f t="shared" si="16"/>
        <v>20</v>
      </c>
      <c r="AA101" s="189">
        <f t="shared" si="9"/>
        <v>6.7746482927568605</v>
      </c>
      <c r="AB101" s="189">
        <f t="shared" si="17"/>
        <v>19.730168059350056</v>
      </c>
      <c r="AC101" s="209">
        <f t="shared" si="18"/>
        <v>-2.0934814533750914</v>
      </c>
    </row>
    <row r="102" spans="20:29" ht="15.75">
      <c r="T102" s="134">
        <v>58</v>
      </c>
      <c r="U102" s="208">
        <f t="shared" si="1"/>
        <v>58</v>
      </c>
      <c r="V102" s="188">
        <f t="shared" si="8"/>
        <v>21.098593171027442</v>
      </c>
      <c r="W102" s="188">
        <f t="shared" si="13"/>
        <v>4.5553093477052</v>
      </c>
      <c r="X102" s="188">
        <f t="shared" si="14"/>
        <v>-3.30054713581115</v>
      </c>
      <c r="Y102" s="188">
        <f t="shared" si="15"/>
        <v>-20.838834477983998</v>
      </c>
      <c r="Z102" s="206">
        <f t="shared" si="16"/>
        <v>20</v>
      </c>
      <c r="AA102" s="189">
        <f t="shared" si="9"/>
        <v>6.7746482927568605</v>
      </c>
      <c r="AB102" s="189">
        <f t="shared" si="17"/>
        <v>19.730168059350056</v>
      </c>
      <c r="AC102" s="209">
        <f t="shared" si="18"/>
        <v>-2.0934814533750914</v>
      </c>
    </row>
    <row r="103" spans="20:29" ht="15.75">
      <c r="T103" s="134">
        <v>59</v>
      </c>
      <c r="U103" s="208">
        <f t="shared" si="1"/>
        <v>59</v>
      </c>
      <c r="V103" s="188">
        <f t="shared" si="8"/>
        <v>19.098593171027442</v>
      </c>
      <c r="W103" s="188">
        <f t="shared" si="13"/>
        <v>4.633849164044944</v>
      </c>
      <c r="X103" s="188">
        <f t="shared" si="14"/>
        <v>-1.4984583498728197</v>
      </c>
      <c r="Y103" s="188">
        <f t="shared" si="15"/>
        <v>-19.039718582114403</v>
      </c>
      <c r="Z103" s="206">
        <f t="shared" si="16"/>
        <v>20</v>
      </c>
      <c r="AA103" s="189">
        <f t="shared" si="9"/>
        <v>6.7746482927568605</v>
      </c>
      <c r="AB103" s="189">
        <f t="shared" si="17"/>
        <v>19.730168059350056</v>
      </c>
      <c r="AC103" s="209">
        <f t="shared" si="18"/>
        <v>-2.0934814533750914</v>
      </c>
    </row>
    <row r="104" spans="20:29" ht="15.75">
      <c r="T104" s="134">
        <v>60</v>
      </c>
      <c r="U104" s="208">
        <f t="shared" si="1"/>
        <v>60</v>
      </c>
      <c r="V104" s="188">
        <f t="shared" si="8"/>
        <v>21.098593171027442</v>
      </c>
      <c r="W104" s="188">
        <f t="shared" si="13"/>
        <v>4.71238898038469</v>
      </c>
      <c r="X104" s="188">
        <f t="shared" si="14"/>
        <v>-3.8773363236344746E-15</v>
      </c>
      <c r="Y104" s="188">
        <f t="shared" si="15"/>
        <v>-21.098593171027442</v>
      </c>
      <c r="Z104" s="206">
        <f t="shared" si="16"/>
        <v>20</v>
      </c>
      <c r="AA104" s="189">
        <f t="shared" si="9"/>
        <v>6.7746482927568605</v>
      </c>
      <c r="AB104" s="189">
        <f t="shared" si="17"/>
        <v>19.730168059350056</v>
      </c>
      <c r="AC104" s="209">
        <f t="shared" si="18"/>
        <v>-2.0934814533750914</v>
      </c>
    </row>
    <row r="105" spans="20:29" ht="15.75">
      <c r="T105" s="134">
        <v>61</v>
      </c>
      <c r="U105" s="208">
        <f t="shared" si="1"/>
        <v>61</v>
      </c>
      <c r="V105" s="188">
        <f t="shared" si="8"/>
        <v>19.098593171027442</v>
      </c>
      <c r="W105" s="188">
        <f t="shared" si="13"/>
        <v>4.790928796724435</v>
      </c>
      <c r="X105" s="188">
        <f t="shared" si="14"/>
        <v>1.4984583498728128</v>
      </c>
      <c r="Y105" s="188">
        <f t="shared" si="15"/>
        <v>-19.039718582114403</v>
      </c>
      <c r="Z105" s="206">
        <f t="shared" si="16"/>
        <v>20</v>
      </c>
      <c r="AA105" s="189">
        <f t="shared" si="9"/>
        <v>6.7746482927568605</v>
      </c>
      <c r="AB105" s="189">
        <f t="shared" si="17"/>
        <v>19.730168059350056</v>
      </c>
      <c r="AC105" s="209">
        <f t="shared" si="18"/>
        <v>-2.0934814533750914</v>
      </c>
    </row>
    <row r="106" spans="20:29" ht="15.75">
      <c r="T106" s="134">
        <v>62</v>
      </c>
      <c r="U106" s="208">
        <f t="shared" si="1"/>
        <v>62</v>
      </c>
      <c r="V106" s="188">
        <f t="shared" si="8"/>
        <v>21.098593171027442</v>
      </c>
      <c r="W106" s="188">
        <f t="shared" si="13"/>
        <v>4.869468613064179</v>
      </c>
      <c r="X106" s="188">
        <f t="shared" si="14"/>
        <v>3.3005471358111422</v>
      </c>
      <c r="Y106" s="188">
        <f t="shared" si="15"/>
        <v>-20.838834477984</v>
      </c>
      <c r="Z106" s="206">
        <f t="shared" si="16"/>
        <v>20</v>
      </c>
      <c r="AA106" s="189">
        <f t="shared" si="9"/>
        <v>6.7746482927568605</v>
      </c>
      <c r="AB106" s="189">
        <f t="shared" si="17"/>
        <v>19.730168059350056</v>
      </c>
      <c r="AC106" s="209">
        <f t="shared" si="18"/>
        <v>-2.0934814533750914</v>
      </c>
    </row>
    <row r="107" spans="20:29" ht="15.75">
      <c r="T107" s="134">
        <v>63</v>
      </c>
      <c r="U107" s="208">
        <f t="shared" si="1"/>
        <v>63</v>
      </c>
      <c r="V107" s="188">
        <f t="shared" si="8"/>
        <v>19.098593171027442</v>
      </c>
      <c r="W107" s="188">
        <f t="shared" si="13"/>
        <v>4.948008429403924</v>
      </c>
      <c r="X107" s="188">
        <f t="shared" si="14"/>
        <v>4.4584780319464</v>
      </c>
      <c r="Y107" s="188">
        <f t="shared" si="15"/>
        <v>-18.570897521419568</v>
      </c>
      <c r="Z107" s="206">
        <f t="shared" si="16"/>
        <v>20</v>
      </c>
      <c r="AA107" s="189">
        <f t="shared" si="9"/>
        <v>6.7746482927568605</v>
      </c>
      <c r="AB107" s="189">
        <f t="shared" si="17"/>
        <v>19.730168059350056</v>
      </c>
      <c r="AC107" s="209">
        <f t="shared" si="18"/>
        <v>-2.0934814533750914</v>
      </c>
    </row>
    <row r="108" spans="20:29" ht="15.75">
      <c r="T108" s="134">
        <v>64</v>
      </c>
      <c r="U108" s="208">
        <f t="shared" si="1"/>
        <v>64</v>
      </c>
      <c r="V108" s="188">
        <f t="shared" si="8"/>
        <v>21.098593171027442</v>
      </c>
      <c r="W108" s="188">
        <f t="shared" si="13"/>
        <v>5.026548245743669</v>
      </c>
      <c r="X108" s="188">
        <f t="shared" si="14"/>
        <v>6.519823847250687</v>
      </c>
      <c r="Y108" s="188">
        <f t="shared" si="15"/>
        <v>-20.065954519966077</v>
      </c>
      <c r="Z108" s="206">
        <f t="shared" si="16"/>
        <v>20</v>
      </c>
      <c r="AA108" s="189">
        <f t="shared" si="9"/>
        <v>6.7746482927568605</v>
      </c>
      <c r="AB108" s="189">
        <f t="shared" si="17"/>
        <v>19.730168059350056</v>
      </c>
      <c r="AC108" s="209">
        <f t="shared" si="18"/>
        <v>-2.0934814533750914</v>
      </c>
    </row>
    <row r="109" spans="20:29" ht="15.75">
      <c r="T109" s="134">
        <v>65</v>
      </c>
      <c r="U109" s="208">
        <f aca="true" t="shared" si="19" ref="U109:U124">MIN(T109,2*$V$30)</f>
        <v>65</v>
      </c>
      <c r="V109" s="188">
        <f t="shared" si="8"/>
        <v>19.098593171027442</v>
      </c>
      <c r="W109" s="188">
        <f t="shared" si="13"/>
        <v>5.105088062083414</v>
      </c>
      <c r="X109" s="188">
        <f t="shared" si="14"/>
        <v>7.30871518803325</v>
      </c>
      <c r="Y109" s="188">
        <f t="shared" si="15"/>
        <v>-17.644799330472086</v>
      </c>
      <c r="Z109" s="206">
        <f t="shared" si="16"/>
        <v>20</v>
      </c>
      <c r="AA109" s="189">
        <f t="shared" si="9"/>
        <v>6.7746482927568605</v>
      </c>
      <c r="AB109" s="189">
        <f t="shared" si="17"/>
        <v>19.730168059350056</v>
      </c>
      <c r="AC109" s="209">
        <f t="shared" si="18"/>
        <v>-2.0934814533750914</v>
      </c>
    </row>
    <row r="110" spans="20:29" ht="15.75">
      <c r="T110" s="134">
        <v>66</v>
      </c>
      <c r="U110" s="208">
        <f t="shared" si="19"/>
        <v>66</v>
      </c>
      <c r="V110" s="188">
        <f aca="true" t="shared" si="20" ref="V110:V124">IF(U110/2=ROUND(U110/2,0),$V$33+$V$40,$V$33)</f>
        <v>21.098593171027442</v>
      </c>
      <c r="W110" s="188">
        <f t="shared" si="13"/>
        <v>5.183627878423159</v>
      </c>
      <c r="X110" s="188">
        <f t="shared" si="14"/>
        <v>9.578560857516134</v>
      </c>
      <c r="Y110" s="188">
        <f t="shared" si="15"/>
        <v>-18.798984166581597</v>
      </c>
      <c r="Z110" s="206">
        <f t="shared" si="16"/>
        <v>20</v>
      </c>
      <c r="AA110" s="189">
        <f aca="true" t="shared" si="21" ref="AA110:AA124">IF(Z110/2=ROUND(Z110/2,0),$AA$33+$AA$40,$AA$33)</f>
        <v>6.7746482927568605</v>
      </c>
      <c r="AB110" s="189">
        <f t="shared" si="17"/>
        <v>19.730168059350056</v>
      </c>
      <c r="AC110" s="209">
        <f t="shared" si="18"/>
        <v>-2.0934814533750914</v>
      </c>
    </row>
    <row r="111" spans="20:29" ht="15.75">
      <c r="T111" s="134">
        <v>67</v>
      </c>
      <c r="U111" s="208">
        <f t="shared" si="19"/>
        <v>67</v>
      </c>
      <c r="V111" s="188">
        <f t="shared" si="20"/>
        <v>19.098593171027442</v>
      </c>
      <c r="W111" s="188">
        <f t="shared" si="13"/>
        <v>5.262167694762903</v>
      </c>
      <c r="X111" s="188">
        <f t="shared" si="14"/>
        <v>9.978987519955652</v>
      </c>
      <c r="Y111" s="188">
        <f t="shared" si="15"/>
        <v>-16.284227620276788</v>
      </c>
      <c r="Z111" s="206">
        <f t="shared" si="16"/>
        <v>20</v>
      </c>
      <c r="AA111" s="189">
        <f t="shared" si="21"/>
        <v>6.7746482927568605</v>
      </c>
      <c r="AB111" s="189">
        <f t="shared" si="17"/>
        <v>19.730168059350056</v>
      </c>
      <c r="AC111" s="209">
        <f t="shared" si="18"/>
        <v>-2.0934814533750914</v>
      </c>
    </row>
    <row r="112" spans="20:29" ht="15.75">
      <c r="T112" s="134">
        <v>68</v>
      </c>
      <c r="U112" s="208">
        <f t="shared" si="19"/>
        <v>68</v>
      </c>
      <c r="V112" s="188">
        <f t="shared" si="20"/>
        <v>21.098593171027442</v>
      </c>
      <c r="W112" s="188">
        <f t="shared" si="13"/>
        <v>5.340707511102648</v>
      </c>
      <c r="X112" s="188">
        <f t="shared" si="14"/>
        <v>12.40144191004861</v>
      </c>
      <c r="Y112" s="188">
        <f t="shared" si="15"/>
        <v>-17.069120432764414</v>
      </c>
      <c r="Z112" s="206">
        <f t="shared" si="16"/>
        <v>20</v>
      </c>
      <c r="AA112" s="189">
        <f t="shared" si="21"/>
        <v>6.7746482927568605</v>
      </c>
      <c r="AB112" s="189">
        <f t="shared" si="17"/>
        <v>19.730168059350056</v>
      </c>
      <c r="AC112" s="209">
        <f t="shared" si="18"/>
        <v>-2.0934814533750914</v>
      </c>
    </row>
    <row r="113" spans="20:29" ht="15.75">
      <c r="T113" s="134">
        <v>69</v>
      </c>
      <c r="U113" s="208">
        <f t="shared" si="19"/>
        <v>69</v>
      </c>
      <c r="V113" s="188">
        <f t="shared" si="20"/>
        <v>19.098593171027442</v>
      </c>
      <c r="W113" s="188">
        <f t="shared" si="13"/>
        <v>5.419247327442394</v>
      </c>
      <c r="X113" s="188">
        <f t="shared" si="14"/>
        <v>12.40354406077595</v>
      </c>
      <c r="Y113" s="188">
        <f t="shared" si="15"/>
        <v>-14.522684181817276</v>
      </c>
      <c r="Z113" s="206">
        <f t="shared" si="16"/>
        <v>20</v>
      </c>
      <c r="AA113" s="189">
        <f t="shared" si="21"/>
        <v>6.7746482927568605</v>
      </c>
      <c r="AB113" s="189">
        <f t="shared" si="17"/>
        <v>19.730168059350056</v>
      </c>
      <c r="AC113" s="209">
        <f t="shared" si="18"/>
        <v>-2.0934814533750914</v>
      </c>
    </row>
    <row r="114" spans="20:29" ht="15.75">
      <c r="T114" s="134">
        <v>70</v>
      </c>
      <c r="U114" s="208">
        <f t="shared" si="19"/>
        <v>70</v>
      </c>
      <c r="V114" s="188">
        <f t="shared" si="20"/>
        <v>21.098593171027442</v>
      </c>
      <c r="W114" s="188">
        <f t="shared" si="13"/>
        <v>5.497787143782138</v>
      </c>
      <c r="X114" s="188">
        <f t="shared" si="14"/>
        <v>14.918958304729683</v>
      </c>
      <c r="Y114" s="188">
        <f t="shared" si="15"/>
        <v>-14.91895830472969</v>
      </c>
      <c r="Z114" s="206">
        <f t="shared" si="16"/>
        <v>20</v>
      </c>
      <c r="AA114" s="189">
        <f t="shared" si="21"/>
        <v>6.7746482927568605</v>
      </c>
      <c r="AB114" s="189">
        <f t="shared" si="17"/>
        <v>19.730168059350056</v>
      </c>
      <c r="AC114" s="209">
        <f t="shared" si="18"/>
        <v>-2.0934814533750914</v>
      </c>
    </row>
    <row r="115" spans="20:29" ht="15.75">
      <c r="T115" s="134">
        <v>71</v>
      </c>
      <c r="U115" s="208">
        <f t="shared" si="19"/>
        <v>71</v>
      </c>
      <c r="V115" s="188">
        <f t="shared" si="20"/>
        <v>19.098593171027442</v>
      </c>
      <c r="W115" s="188">
        <f t="shared" si="13"/>
        <v>5.576326960121882</v>
      </c>
      <c r="X115" s="188">
        <f t="shared" si="14"/>
        <v>14.52268418181727</v>
      </c>
      <c r="Y115" s="188">
        <f t="shared" si="15"/>
        <v>-12.403544060775957</v>
      </c>
      <c r="Z115" s="206">
        <f t="shared" si="16"/>
        <v>20</v>
      </c>
      <c r="AA115" s="189">
        <f t="shared" si="21"/>
        <v>6.7746482927568605</v>
      </c>
      <c r="AB115" s="189">
        <f t="shared" si="17"/>
        <v>19.730168059350056</v>
      </c>
      <c r="AC115" s="209">
        <f t="shared" si="18"/>
        <v>-2.0934814533750914</v>
      </c>
    </row>
    <row r="116" spans="20:29" ht="15.75">
      <c r="T116" s="134">
        <v>72</v>
      </c>
      <c r="U116" s="208">
        <f t="shared" si="19"/>
        <v>72</v>
      </c>
      <c r="V116" s="188">
        <f t="shared" si="20"/>
        <v>21.098593171027442</v>
      </c>
      <c r="W116" s="188">
        <f t="shared" si="13"/>
        <v>5.654866776461628</v>
      </c>
      <c r="X116" s="188">
        <f t="shared" si="14"/>
        <v>17.06912043276441</v>
      </c>
      <c r="Y116" s="188">
        <f t="shared" si="15"/>
        <v>-12.40144191004862</v>
      </c>
      <c r="Z116" s="206">
        <f t="shared" si="16"/>
        <v>20</v>
      </c>
      <c r="AA116" s="189">
        <f t="shared" si="21"/>
        <v>6.7746482927568605</v>
      </c>
      <c r="AB116" s="189">
        <f t="shared" si="17"/>
        <v>19.730168059350056</v>
      </c>
      <c r="AC116" s="209">
        <f t="shared" si="18"/>
        <v>-2.0934814533750914</v>
      </c>
    </row>
    <row r="117" spans="20:29" ht="15.75">
      <c r="T117" s="134">
        <v>73</v>
      </c>
      <c r="U117" s="208">
        <f t="shared" si="19"/>
        <v>73</v>
      </c>
      <c r="V117" s="188">
        <f t="shared" si="20"/>
        <v>19.098593171027442</v>
      </c>
      <c r="W117" s="188">
        <f t="shared" si="13"/>
        <v>5.733406592801373</v>
      </c>
      <c r="X117" s="188">
        <f t="shared" si="14"/>
        <v>16.284227620276784</v>
      </c>
      <c r="Y117" s="188">
        <f t="shared" si="15"/>
        <v>-9.978987519955657</v>
      </c>
      <c r="Z117" s="206">
        <f t="shared" si="16"/>
        <v>20</v>
      </c>
      <c r="AA117" s="189">
        <f t="shared" si="21"/>
        <v>6.7746482927568605</v>
      </c>
      <c r="AB117" s="189">
        <f t="shared" si="17"/>
        <v>19.730168059350056</v>
      </c>
      <c r="AC117" s="209">
        <f t="shared" si="18"/>
        <v>-2.0934814533750914</v>
      </c>
    </row>
    <row r="118" spans="20:29" ht="15.75">
      <c r="T118" s="134">
        <v>74</v>
      </c>
      <c r="U118" s="208">
        <f t="shared" si="19"/>
        <v>74</v>
      </c>
      <c r="V118" s="188">
        <f t="shared" si="20"/>
        <v>21.098593171027442</v>
      </c>
      <c r="W118" s="188">
        <f t="shared" si="13"/>
        <v>5.811946409141117</v>
      </c>
      <c r="X118" s="188">
        <f t="shared" si="14"/>
        <v>18.798984166581594</v>
      </c>
      <c r="Y118" s="188">
        <f t="shared" si="15"/>
        <v>-9.578560857516141</v>
      </c>
      <c r="Z118" s="206">
        <f t="shared" si="16"/>
        <v>20</v>
      </c>
      <c r="AA118" s="189">
        <f t="shared" si="21"/>
        <v>6.7746482927568605</v>
      </c>
      <c r="AB118" s="189">
        <f t="shared" si="17"/>
        <v>19.730168059350056</v>
      </c>
      <c r="AC118" s="209">
        <f t="shared" si="18"/>
        <v>-2.0934814533750914</v>
      </c>
    </row>
    <row r="119" spans="20:29" ht="15.75">
      <c r="T119" s="134">
        <v>75</v>
      </c>
      <c r="U119" s="208">
        <f t="shared" si="19"/>
        <v>75</v>
      </c>
      <c r="V119" s="188">
        <f t="shared" si="20"/>
        <v>19.098593171027442</v>
      </c>
      <c r="W119" s="188">
        <f t="shared" si="13"/>
        <v>5.890486225480862</v>
      </c>
      <c r="X119" s="188">
        <f t="shared" si="14"/>
        <v>17.644799330472082</v>
      </c>
      <c r="Y119" s="188">
        <f t="shared" si="15"/>
        <v>-7.308715188033258</v>
      </c>
      <c r="Z119" s="206">
        <f t="shared" si="16"/>
        <v>20</v>
      </c>
      <c r="AA119" s="189">
        <f t="shared" si="21"/>
        <v>6.7746482927568605</v>
      </c>
      <c r="AB119" s="189">
        <f t="shared" si="17"/>
        <v>19.730168059350056</v>
      </c>
      <c r="AC119" s="209">
        <f t="shared" si="18"/>
        <v>-2.0934814533750914</v>
      </c>
    </row>
    <row r="120" spans="20:29" ht="15.75">
      <c r="T120" s="134">
        <v>76</v>
      </c>
      <c r="U120" s="208">
        <f t="shared" si="19"/>
        <v>76</v>
      </c>
      <c r="V120" s="188">
        <f t="shared" si="20"/>
        <v>21.098593171027442</v>
      </c>
      <c r="W120" s="188">
        <f t="shared" si="13"/>
        <v>5.969026041820607</v>
      </c>
      <c r="X120" s="188">
        <f t="shared" si="14"/>
        <v>20.065954519966077</v>
      </c>
      <c r="Y120" s="188">
        <f t="shared" si="15"/>
        <v>-6.519823847250695</v>
      </c>
      <c r="Z120" s="206">
        <f t="shared" si="16"/>
        <v>20</v>
      </c>
      <c r="AA120" s="189">
        <f t="shared" si="21"/>
        <v>6.7746482927568605</v>
      </c>
      <c r="AB120" s="189">
        <f t="shared" si="17"/>
        <v>19.730168059350056</v>
      </c>
      <c r="AC120" s="209">
        <f t="shared" si="18"/>
        <v>-2.0934814533750914</v>
      </c>
    </row>
    <row r="121" spans="20:29" ht="15.75">
      <c r="T121" s="134">
        <v>77</v>
      </c>
      <c r="U121" s="208">
        <f t="shared" si="19"/>
        <v>77</v>
      </c>
      <c r="V121" s="188">
        <f t="shared" si="20"/>
        <v>19.098593171027442</v>
      </c>
      <c r="W121" s="188">
        <f t="shared" si="13"/>
        <v>6.047565858160352</v>
      </c>
      <c r="X121" s="188">
        <f t="shared" si="14"/>
        <v>18.570897521419564</v>
      </c>
      <c r="Y121" s="188">
        <f t="shared" si="15"/>
        <v>-4.458478031946408</v>
      </c>
      <c r="Z121" s="206">
        <f t="shared" si="16"/>
        <v>20</v>
      </c>
      <c r="AA121" s="189">
        <f t="shared" si="21"/>
        <v>6.7746482927568605</v>
      </c>
      <c r="AB121" s="189">
        <f t="shared" si="17"/>
        <v>19.730168059350056</v>
      </c>
      <c r="AC121" s="209">
        <f t="shared" si="18"/>
        <v>-2.0934814533750914</v>
      </c>
    </row>
    <row r="122" spans="20:29" ht="15.75">
      <c r="T122" s="134">
        <v>78</v>
      </c>
      <c r="U122" s="208">
        <f t="shared" si="19"/>
        <v>78</v>
      </c>
      <c r="V122" s="188">
        <f t="shared" si="20"/>
        <v>21.098593171027442</v>
      </c>
      <c r="W122" s="188">
        <f t="shared" si="13"/>
        <v>6.126105674500097</v>
      </c>
      <c r="X122" s="188">
        <f t="shared" si="14"/>
        <v>20.838834477983998</v>
      </c>
      <c r="Y122" s="188">
        <f t="shared" si="15"/>
        <v>-3.3005471358111516</v>
      </c>
      <c r="Z122" s="206">
        <f t="shared" si="16"/>
        <v>20</v>
      </c>
      <c r="AA122" s="189">
        <f t="shared" si="21"/>
        <v>6.7746482927568605</v>
      </c>
      <c r="AB122" s="189">
        <f t="shared" si="17"/>
        <v>19.730168059350056</v>
      </c>
      <c r="AC122" s="209">
        <f t="shared" si="18"/>
        <v>-2.0934814533750914</v>
      </c>
    </row>
    <row r="123" spans="20:29" ht="15.75">
      <c r="T123" s="134">
        <v>79</v>
      </c>
      <c r="U123" s="208">
        <f t="shared" si="19"/>
        <v>79</v>
      </c>
      <c r="V123" s="188">
        <f t="shared" si="20"/>
        <v>19.098593171027442</v>
      </c>
      <c r="W123" s="188">
        <f t="shared" si="13"/>
        <v>6.204645490839841</v>
      </c>
      <c r="X123" s="188">
        <f t="shared" si="14"/>
        <v>19.039718582114403</v>
      </c>
      <c r="Y123" s="188">
        <f t="shared" si="15"/>
        <v>-1.4984583498728208</v>
      </c>
      <c r="Z123" s="206">
        <f t="shared" si="16"/>
        <v>20</v>
      </c>
      <c r="AA123" s="189">
        <f t="shared" si="21"/>
        <v>6.7746482927568605</v>
      </c>
      <c r="AB123" s="189">
        <f t="shared" si="17"/>
        <v>19.730168059350056</v>
      </c>
      <c r="AC123" s="209">
        <f t="shared" si="18"/>
        <v>-2.0934814533750914</v>
      </c>
    </row>
    <row r="124" spans="20:29" ht="15.75">
      <c r="T124" s="134">
        <v>80</v>
      </c>
      <c r="U124" s="210">
        <f t="shared" si="19"/>
        <v>80</v>
      </c>
      <c r="V124" s="211">
        <f t="shared" si="20"/>
        <v>21.098593171027442</v>
      </c>
      <c r="W124" s="211">
        <f t="shared" si="13"/>
        <v>6.283185307179586</v>
      </c>
      <c r="X124" s="211">
        <f t="shared" si="14"/>
        <v>21.098593171027442</v>
      </c>
      <c r="Y124" s="211">
        <f t="shared" si="15"/>
        <v>-5.169781764845966E-15</v>
      </c>
      <c r="Z124" s="206">
        <f t="shared" si="16"/>
        <v>20</v>
      </c>
      <c r="AA124" s="189">
        <f t="shared" si="21"/>
        <v>6.7746482927568605</v>
      </c>
      <c r="AB124" s="189">
        <f t="shared" si="17"/>
        <v>19.730168059350056</v>
      </c>
      <c r="AC124" s="209">
        <f t="shared" si="18"/>
        <v>-2.0934814533750914</v>
      </c>
    </row>
    <row r="125" spans="21:30" ht="15.75">
      <c r="U125" s="212" t="s">
        <v>141</v>
      </c>
      <c r="V125" s="213">
        <f>V33-V40/2</f>
        <v>18.098593171027442</v>
      </c>
      <c r="W125" s="178"/>
      <c r="X125" s="178"/>
      <c r="Y125" s="178"/>
      <c r="Z125" s="214" t="s">
        <v>141</v>
      </c>
      <c r="AA125" s="215">
        <f>AA33-AA40/2</f>
        <v>3.7746482927568605</v>
      </c>
      <c r="AB125" s="216"/>
      <c r="AC125" s="217"/>
      <c r="AD125" s="198"/>
    </row>
    <row r="126" spans="21:30" ht="15.75">
      <c r="U126" s="205" t="s">
        <v>5</v>
      </c>
      <c r="V126" s="182" t="s">
        <v>6</v>
      </c>
      <c r="W126" s="182"/>
      <c r="X126" s="182"/>
      <c r="Y126" s="182"/>
      <c r="Z126" s="206" t="s">
        <v>5</v>
      </c>
      <c r="AA126" s="198" t="s">
        <v>6</v>
      </c>
      <c r="AB126" s="198"/>
      <c r="AC126" s="218"/>
      <c r="AD126" s="198"/>
    </row>
    <row r="127" spans="21:30" ht="15.75">
      <c r="U127" s="205">
        <v>0</v>
      </c>
      <c r="V127" s="182">
        <v>0</v>
      </c>
      <c r="W127" s="182"/>
      <c r="X127" s="182"/>
      <c r="Y127" s="182"/>
      <c r="Z127" s="197">
        <f>0+$Z$38</f>
        <v>26.173241463784304</v>
      </c>
      <c r="AA127" s="198">
        <v>0</v>
      </c>
      <c r="AB127" s="198"/>
      <c r="AC127" s="218"/>
      <c r="AD127" s="198"/>
    </row>
    <row r="128" spans="21:30" ht="15.75">
      <c r="U128" s="219">
        <f>$V$125*COS(2*PI()*$V$35*$U$3)</f>
        <v>18.098593171027442</v>
      </c>
      <c r="V128" s="220">
        <f>$V$125*SIN(2*PI()*$V$35*$U$3)</f>
        <v>0</v>
      </c>
      <c r="W128" s="221"/>
      <c r="X128" s="221"/>
      <c r="Y128" s="221"/>
      <c r="Z128" s="222">
        <f>$AA$125*COS(2*PI()*$AA$35*$U$3)+$Z$38</f>
        <v>29.947889756541166</v>
      </c>
      <c r="AA128" s="223">
        <f>$AA$125*SIN(2*PI()*$AA$35*$U$3)</f>
        <v>0</v>
      </c>
      <c r="AB128" s="224"/>
      <c r="AC128" s="225"/>
      <c r="AD128" s="198"/>
    </row>
    <row r="129" spans="21:30" ht="15.75">
      <c r="U129" s="212" t="s">
        <v>142</v>
      </c>
      <c r="V129" s="213"/>
      <c r="W129" s="178"/>
      <c r="X129" s="178"/>
      <c r="Y129" s="178"/>
      <c r="Z129" s="214" t="s">
        <v>142</v>
      </c>
      <c r="AA129" s="215"/>
      <c r="AB129" s="216"/>
      <c r="AC129" s="217"/>
      <c r="AD129" s="198"/>
    </row>
    <row r="130" spans="21:30" ht="15.75">
      <c r="U130" s="205" t="s">
        <v>5</v>
      </c>
      <c r="V130" s="182" t="s">
        <v>6</v>
      </c>
      <c r="W130" s="182"/>
      <c r="X130" s="182"/>
      <c r="Y130" s="182"/>
      <c r="Z130" s="206" t="s">
        <v>5</v>
      </c>
      <c r="AA130" s="198" t="s">
        <v>6</v>
      </c>
      <c r="AB130" s="198"/>
      <c r="AC130" s="218"/>
      <c r="AD130" s="198"/>
    </row>
    <row r="131" spans="21:30" ht="15.75">
      <c r="U131" s="205">
        <v>0</v>
      </c>
      <c r="V131" s="182">
        <v>0</v>
      </c>
      <c r="W131" s="182"/>
      <c r="X131" s="182"/>
      <c r="Y131" s="182"/>
      <c r="Z131" s="197">
        <f>0+$Z$38</f>
        <v>26.173241463784304</v>
      </c>
      <c r="AA131" s="198">
        <v>0</v>
      </c>
      <c r="AB131" s="198"/>
      <c r="AC131" s="218"/>
      <c r="AD131" s="198"/>
    </row>
    <row r="132" spans="21:30" ht="15.75">
      <c r="U132" s="219">
        <f>$V$125*COS(2*PI()*$V$35*$U$3+2*PI()/3)</f>
        <v>-9.049296585513718</v>
      </c>
      <c r="V132" s="220">
        <f>$V$125*SIN(2*PI()*$V$35*$U$3+2*PI()/3)</f>
        <v>15.673841458869326</v>
      </c>
      <c r="W132" s="221"/>
      <c r="X132" s="221"/>
      <c r="Y132" s="221"/>
      <c r="Z132" s="222">
        <f>$AA$125*COS(2*PI()*$AA$35*$U$3+2*PI()/3)+$Z$38</f>
        <v>24.285917317405875</v>
      </c>
      <c r="AA132" s="223">
        <f>$AA$125*SIN(2*PI()*$AA$35*$U$3+2*PI()/3)</f>
        <v>3.2689413118790025</v>
      </c>
      <c r="AB132" s="224"/>
      <c r="AC132" s="225"/>
      <c r="AD132" s="198"/>
    </row>
    <row r="133" spans="21:30" ht="15.75">
      <c r="U133" s="212" t="s">
        <v>143</v>
      </c>
      <c r="V133" s="213"/>
      <c r="W133" s="178"/>
      <c r="X133" s="178"/>
      <c r="Y133" s="178"/>
      <c r="Z133" s="214" t="s">
        <v>143</v>
      </c>
      <c r="AA133" s="215"/>
      <c r="AB133" s="216"/>
      <c r="AC133" s="217"/>
      <c r="AD133" s="198"/>
    </row>
    <row r="134" spans="21:30" ht="15.75">
      <c r="U134" s="205" t="s">
        <v>5</v>
      </c>
      <c r="V134" s="182" t="s">
        <v>6</v>
      </c>
      <c r="W134" s="182"/>
      <c r="X134" s="182"/>
      <c r="Y134" s="182"/>
      <c r="Z134" s="206" t="s">
        <v>5</v>
      </c>
      <c r="AA134" s="198" t="s">
        <v>6</v>
      </c>
      <c r="AB134" s="198"/>
      <c r="AC134" s="218"/>
      <c r="AD134" s="198"/>
    </row>
    <row r="135" spans="21:30" ht="15.75">
      <c r="U135" s="205">
        <v>0</v>
      </c>
      <c r="V135" s="182">
        <v>0</v>
      </c>
      <c r="W135" s="182"/>
      <c r="X135" s="182"/>
      <c r="Y135" s="182"/>
      <c r="Z135" s="197">
        <f>0+$Z$38</f>
        <v>26.173241463784304</v>
      </c>
      <c r="AA135" s="198">
        <v>0</v>
      </c>
      <c r="AB135" s="198"/>
      <c r="AC135" s="218"/>
      <c r="AD135" s="198"/>
    </row>
    <row r="136" spans="21:30" ht="15.75">
      <c r="U136" s="219">
        <f>$V$125*COS(2*PI()*$V$35*$U$3+2*2*PI()/3)</f>
        <v>-9.04929658551373</v>
      </c>
      <c r="V136" s="220">
        <f>$V$125*SIN(2*PI()*$V$35*$U$3+2*2*PI()/3)</f>
        <v>-15.673841458869319</v>
      </c>
      <c r="W136" s="221"/>
      <c r="X136" s="221"/>
      <c r="Y136" s="221"/>
      <c r="Z136" s="222">
        <f>$AA$125*COS(2*PI()*$AA$35*$U$3+2*2*PI()/3)+$Z$38</f>
        <v>24.285917317405872</v>
      </c>
      <c r="AA136" s="223">
        <f>$AA$125*SIN(2*PI()*$AA$35*$U$3+2*2*PI()/3)</f>
        <v>-3.268941311879001</v>
      </c>
      <c r="AB136" s="224"/>
      <c r="AC136" s="225"/>
      <c r="AD136" s="198"/>
    </row>
  </sheetData>
  <sheetProtection password="DE47" sheet="1" objects="1" scenarios="1" selectLockedCells="1" selectUnlockedCells="1"/>
  <mergeCells count="1">
    <mergeCell ref="B49:C49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B1:AO136"/>
  <sheetViews>
    <sheetView showGridLines="0" showRowColHeaders="0" showOutlineSymbols="0" workbookViewId="0" topLeftCell="A1">
      <pane xSplit="15" topLeftCell="P1" activePane="topRight" state="frozen"/>
      <selection pane="topLeft" activeCell="A1" sqref="A1"/>
      <selection pane="topRight" activeCell="E35" sqref="E35"/>
    </sheetView>
  </sheetViews>
  <sheetFormatPr defaultColWidth="9.140625" defaultRowHeight="12.75"/>
  <cols>
    <col min="1" max="1" width="2.8515625" style="134" customWidth="1"/>
    <col min="2" max="2" width="20.28125" style="134" bestFit="1" customWidth="1"/>
    <col min="3" max="3" width="12.7109375" style="134" bestFit="1" customWidth="1"/>
    <col min="4" max="4" width="7.140625" style="134" bestFit="1" customWidth="1"/>
    <col min="5" max="5" width="14.57421875" style="134" bestFit="1" customWidth="1"/>
    <col min="6" max="6" width="5.28125" style="134" customWidth="1"/>
    <col min="7" max="7" width="3.28125" style="134" customWidth="1"/>
    <col min="8" max="8" width="20.28125" style="134" bestFit="1" customWidth="1"/>
    <col min="9" max="9" width="6.421875" style="134" customWidth="1"/>
    <col min="10" max="10" width="6.28125" style="134" bestFit="1" customWidth="1"/>
    <col min="11" max="11" width="19.421875" style="134" customWidth="1"/>
    <col min="12" max="12" width="9.140625" style="134" customWidth="1"/>
    <col min="13" max="13" width="60.00390625" style="134" customWidth="1"/>
    <col min="14" max="14" width="134.28125" style="134" customWidth="1"/>
    <col min="15" max="15" width="134.8515625" style="134" customWidth="1"/>
    <col min="16" max="17" width="9.28125" style="134" bestFit="1" customWidth="1"/>
    <col min="18" max="18" width="9.140625" style="134" customWidth="1"/>
    <col min="19" max="20" width="9.28125" style="134" bestFit="1" customWidth="1"/>
    <col min="21" max="21" width="31.421875" style="134" bestFit="1" customWidth="1"/>
    <col min="22" max="22" width="16.7109375" style="134" bestFit="1" customWidth="1"/>
    <col min="23" max="23" width="14.57421875" style="134" bestFit="1" customWidth="1"/>
    <col min="24" max="24" width="10.00390625" style="134" bestFit="1" customWidth="1"/>
    <col min="25" max="25" width="10.00390625" style="134" customWidth="1"/>
    <col min="26" max="26" width="22.00390625" style="134" customWidth="1"/>
    <col min="27" max="27" width="15.00390625" style="134" bestFit="1" customWidth="1"/>
    <col min="28" max="28" width="16.140625" style="134" bestFit="1" customWidth="1"/>
    <col min="29" max="29" width="12.421875" style="134" bestFit="1" customWidth="1"/>
    <col min="30" max="30" width="23.8515625" style="134" bestFit="1" customWidth="1"/>
    <col min="31" max="31" width="12.421875" style="134" bestFit="1" customWidth="1"/>
    <col min="32" max="32" width="12.8515625" style="134" bestFit="1" customWidth="1"/>
    <col min="33" max="33" width="5.8515625" style="134" bestFit="1" customWidth="1"/>
    <col min="34" max="34" width="11.140625" style="134" bestFit="1" customWidth="1"/>
    <col min="35" max="35" width="9.421875" style="134" bestFit="1" customWidth="1"/>
    <col min="36" max="36" width="9.140625" style="134" customWidth="1"/>
    <col min="37" max="37" width="12.421875" style="134" bestFit="1" customWidth="1"/>
    <col min="38" max="16384" width="9.140625" style="134" customWidth="1"/>
  </cols>
  <sheetData>
    <row r="1" spans="2:27" ht="37.5" customHeight="1">
      <c r="B1" s="132" t="s">
        <v>125</v>
      </c>
      <c r="C1" s="133"/>
      <c r="D1" s="133"/>
      <c r="H1" s="135" t="s">
        <v>127</v>
      </c>
      <c r="I1" s="136"/>
      <c r="J1" s="136"/>
      <c r="L1" s="137"/>
      <c r="P1" s="8">
        <v>0</v>
      </c>
      <c r="Q1" s="9">
        <v>0</v>
      </c>
      <c r="R1" s="9" t="s">
        <v>14</v>
      </c>
      <c r="S1" s="9">
        <v>0</v>
      </c>
      <c r="T1" s="10">
        <v>0</v>
      </c>
      <c r="U1" s="124">
        <f>P1*3600+Q1*60+S1+T1</f>
        <v>0</v>
      </c>
      <c r="V1" s="134" t="s">
        <v>151</v>
      </c>
      <c r="W1" s="139">
        <f>Y29</f>
        <v>20</v>
      </c>
      <c r="X1" s="134" t="s">
        <v>3</v>
      </c>
      <c r="Y1" s="140" t="s">
        <v>95</v>
      </c>
      <c r="Z1" s="141"/>
      <c r="AA1" s="142"/>
    </row>
    <row r="2" spans="2:27" ht="3.75" customHeight="1">
      <c r="B2" s="135"/>
      <c r="C2" s="133"/>
      <c r="D2" s="133"/>
      <c r="H2" s="136"/>
      <c r="I2" s="136"/>
      <c r="J2" s="136"/>
      <c r="L2" s="137"/>
      <c r="P2" s="143"/>
      <c r="Q2" s="143"/>
      <c r="R2" s="143"/>
      <c r="S2" s="143"/>
      <c r="T2" s="143"/>
      <c r="U2" s="124"/>
      <c r="Z2" s="141"/>
      <c r="AA2" s="142"/>
    </row>
    <row r="3" spans="2:27" ht="15" customHeight="1">
      <c r="B3" s="144" t="s">
        <v>129</v>
      </c>
      <c r="C3" s="130">
        <f>V30</f>
        <v>40</v>
      </c>
      <c r="D3" s="144"/>
      <c r="E3" s="145">
        <v>20</v>
      </c>
      <c r="F3" s="137"/>
      <c r="H3" s="146" t="s">
        <v>135</v>
      </c>
      <c r="I3" s="147">
        <f>AA30</f>
        <v>10</v>
      </c>
      <c r="J3" s="148"/>
      <c r="K3" s="137"/>
      <c r="L3" s="137"/>
      <c r="U3" s="149">
        <f>MIN(U1/V25,W1)</f>
        <v>0</v>
      </c>
      <c r="V3" s="134" t="s">
        <v>150</v>
      </c>
      <c r="Z3" s="141"/>
      <c r="AA3" s="142"/>
    </row>
    <row r="4" spans="2:27" ht="3.75" customHeight="1">
      <c r="B4" s="150"/>
      <c r="C4" s="131"/>
      <c r="D4" s="151"/>
      <c r="E4" s="137"/>
      <c r="F4" s="137"/>
      <c r="H4" s="152"/>
      <c r="I4" s="153"/>
      <c r="J4" s="154"/>
      <c r="K4" s="137"/>
      <c r="L4" s="137"/>
      <c r="Z4" s="141"/>
      <c r="AA4" s="142"/>
    </row>
    <row r="5" spans="2:27" ht="15" customHeight="1">
      <c r="B5" s="144" t="s">
        <v>130</v>
      </c>
      <c r="C5" s="155">
        <f>V32</f>
        <v>38.197186342054884</v>
      </c>
      <c r="D5" s="144" t="s">
        <v>128</v>
      </c>
      <c r="E5" s="137"/>
      <c r="F5" s="137"/>
      <c r="G5" s="137"/>
      <c r="H5" s="146" t="s">
        <v>136</v>
      </c>
      <c r="I5" s="156">
        <f>AA32</f>
        <v>9.549296585513721</v>
      </c>
      <c r="J5" s="146" t="s">
        <v>128</v>
      </c>
      <c r="L5" s="137"/>
      <c r="U5" s="124"/>
      <c r="V5" s="140"/>
      <c r="Z5" s="141"/>
      <c r="AA5" s="142"/>
    </row>
    <row r="6" spans="2:27" ht="3.75" customHeight="1">
      <c r="B6" s="150"/>
      <c r="C6" s="157"/>
      <c r="D6" s="151"/>
      <c r="E6" s="137"/>
      <c r="F6" s="137"/>
      <c r="H6" s="136"/>
      <c r="I6" s="136"/>
      <c r="J6" s="136"/>
      <c r="L6" s="137"/>
      <c r="Z6" s="141"/>
      <c r="AA6" s="142"/>
    </row>
    <row r="7" spans="2:27" ht="18.75" customHeight="1">
      <c r="B7" s="144" t="s">
        <v>131</v>
      </c>
      <c r="C7" s="130">
        <f>V34</f>
        <v>30</v>
      </c>
      <c r="D7" s="144" t="s">
        <v>132</v>
      </c>
      <c r="E7" s="145">
        <v>170</v>
      </c>
      <c r="F7" s="145"/>
      <c r="H7" s="146" t="s">
        <v>137</v>
      </c>
      <c r="I7" s="147">
        <f>AA34</f>
        <v>120</v>
      </c>
      <c r="J7" s="158" t="s">
        <v>138</v>
      </c>
      <c r="K7" s="137"/>
      <c r="L7" s="137"/>
      <c r="Z7" s="141"/>
      <c r="AA7" s="142"/>
    </row>
    <row r="8" spans="2:27" ht="3.75" customHeight="1">
      <c r="B8" s="159"/>
      <c r="C8" s="159"/>
      <c r="D8" s="159"/>
      <c r="H8" s="136"/>
      <c r="I8" s="136"/>
      <c r="J8" s="136"/>
      <c r="L8" s="137"/>
      <c r="Z8" s="141"/>
      <c r="AA8" s="142"/>
    </row>
    <row r="9" spans="2:28" ht="22.5">
      <c r="B9" s="144" t="s">
        <v>133</v>
      </c>
      <c r="C9" s="231">
        <f>V35</f>
        <v>0.5</v>
      </c>
      <c r="D9" s="144" t="s">
        <v>134</v>
      </c>
      <c r="H9" s="146" t="s">
        <v>139</v>
      </c>
      <c r="I9" s="232">
        <f>AA35</f>
        <v>2</v>
      </c>
      <c r="J9" s="158" t="s">
        <v>153</v>
      </c>
      <c r="Z9" s="141"/>
      <c r="AA9" s="142"/>
      <c r="AB9" s="160"/>
    </row>
    <row r="10" spans="8:27" ht="3.75" customHeight="1">
      <c r="H10" s="152"/>
      <c r="I10" s="153"/>
      <c r="J10" s="154"/>
      <c r="K10" s="137"/>
      <c r="L10" s="137"/>
      <c r="Z10" s="141"/>
      <c r="AA10" s="142"/>
    </row>
    <row r="11" spans="2:27" ht="18.75" customHeight="1">
      <c r="B11" s="144" t="s">
        <v>173</v>
      </c>
      <c r="C11" s="233">
        <f>X35</f>
        <v>2</v>
      </c>
      <c r="D11" s="144" t="s">
        <v>3</v>
      </c>
      <c r="H11" s="146" t="s">
        <v>174</v>
      </c>
      <c r="I11" s="234">
        <f>-AC35</f>
        <v>0.5</v>
      </c>
      <c r="J11" s="146" t="s">
        <v>3</v>
      </c>
      <c r="K11" s="137"/>
      <c r="L11" s="137"/>
      <c r="Z11" s="141"/>
      <c r="AA11" s="142"/>
    </row>
    <row r="12" spans="8:27" ht="3.75" customHeight="1" thickBot="1">
      <c r="H12" s="152"/>
      <c r="I12" s="153"/>
      <c r="J12" s="154"/>
      <c r="K12" s="137"/>
      <c r="L12" s="137"/>
      <c r="Z12" s="141"/>
      <c r="AA12" s="142"/>
    </row>
    <row r="13" spans="2:27" ht="18.75" customHeight="1" thickBot="1" thickTop="1">
      <c r="B13" s="230" t="s">
        <v>90</v>
      </c>
      <c r="C13" s="167"/>
      <c r="D13" s="166"/>
      <c r="E13" s="168">
        <f>U3</f>
        <v>0</v>
      </c>
      <c r="F13" s="169" t="s">
        <v>3</v>
      </c>
      <c r="H13" s="161" t="s">
        <v>140</v>
      </c>
      <c r="I13" s="162">
        <f>V25</f>
        <v>10</v>
      </c>
      <c r="J13" s="163" t="s">
        <v>5</v>
      </c>
      <c r="K13" s="137"/>
      <c r="L13" s="137"/>
      <c r="Z13" s="141"/>
      <c r="AA13" s="142"/>
    </row>
    <row r="14" spans="8:27" ht="3.75" customHeight="1" thickTop="1">
      <c r="H14" s="164"/>
      <c r="I14" s="165"/>
      <c r="J14" s="137"/>
      <c r="K14" s="137"/>
      <c r="L14" s="137"/>
      <c r="Z14" s="141"/>
      <c r="AA14" s="142"/>
    </row>
    <row r="15" spans="2:27" ht="15.75" customHeight="1">
      <c r="B15" s="144" t="s">
        <v>145</v>
      </c>
      <c r="C15" s="244">
        <f>X29</f>
        <v>10</v>
      </c>
      <c r="D15" s="144" t="s">
        <v>152</v>
      </c>
      <c r="H15" s="170" t="s">
        <v>72</v>
      </c>
      <c r="I15" s="171"/>
      <c r="J15" s="172"/>
      <c r="K15" s="164"/>
      <c r="L15" s="137"/>
      <c r="Z15" s="141"/>
      <c r="AA15" s="142"/>
    </row>
    <row r="16" spans="2:27" ht="15" customHeight="1">
      <c r="B16" s="137"/>
      <c r="C16" s="137"/>
      <c r="D16" s="137"/>
      <c r="K16" s="141"/>
      <c r="Z16" s="141"/>
      <c r="AA16" s="142"/>
    </row>
    <row r="17" spans="9:27" ht="15.75">
      <c r="I17" s="160"/>
      <c r="K17" s="141"/>
      <c r="U17" s="173"/>
      <c r="V17" s="235" t="s">
        <v>59</v>
      </c>
      <c r="W17" s="173" t="s">
        <v>148</v>
      </c>
      <c r="X17" s="235"/>
      <c r="Y17" s="174" t="s">
        <v>149</v>
      </c>
      <c r="AA17" s="142"/>
    </row>
    <row r="18" spans="21:27" ht="15.75">
      <c r="U18" s="175">
        <v>1</v>
      </c>
      <c r="V18" s="137">
        <v>1</v>
      </c>
      <c r="W18" s="238">
        <v>1</v>
      </c>
      <c r="X18" s="239">
        <v>1</v>
      </c>
      <c r="Y18" s="240">
        <f aca="true" t="shared" si="0" ref="Y18:Y28">X18*$X$35</f>
        <v>2</v>
      </c>
      <c r="AA18" s="142"/>
    </row>
    <row r="19" spans="21:27" ht="15.75">
      <c r="U19" s="175">
        <v>2</v>
      </c>
      <c r="V19" s="137">
        <v>2</v>
      </c>
      <c r="W19" s="238">
        <v>2</v>
      </c>
      <c r="X19" s="239">
        <v>2</v>
      </c>
      <c r="Y19" s="240">
        <f t="shared" si="0"/>
        <v>4</v>
      </c>
      <c r="AA19" s="142"/>
    </row>
    <row r="20" spans="21:28" ht="15.75">
      <c r="U20" s="175">
        <v>3</v>
      </c>
      <c r="V20" s="137">
        <v>5</v>
      </c>
      <c r="W20" s="238">
        <v>3</v>
      </c>
      <c r="X20" s="239">
        <v>3</v>
      </c>
      <c r="Y20" s="240">
        <f t="shared" si="0"/>
        <v>6</v>
      </c>
      <c r="AA20" s="142"/>
      <c r="AB20" s="139"/>
    </row>
    <row r="21" spans="21:27" ht="15.75">
      <c r="U21" s="175">
        <v>4</v>
      </c>
      <c r="V21" s="137">
        <v>10</v>
      </c>
      <c r="W21" s="238">
        <v>4</v>
      </c>
      <c r="X21" s="239">
        <v>4</v>
      </c>
      <c r="Y21" s="240">
        <f t="shared" si="0"/>
        <v>8</v>
      </c>
      <c r="AA21" s="142"/>
    </row>
    <row r="22" spans="21:27" ht="15.75">
      <c r="U22" s="175">
        <v>5</v>
      </c>
      <c r="V22" s="137">
        <v>20</v>
      </c>
      <c r="W22" s="238">
        <v>5</v>
      </c>
      <c r="X22" s="239">
        <v>5</v>
      </c>
      <c r="Y22" s="240">
        <f t="shared" si="0"/>
        <v>10</v>
      </c>
      <c r="AA22" s="142"/>
    </row>
    <row r="23" spans="21:27" ht="15.75">
      <c r="U23" s="175">
        <v>6</v>
      </c>
      <c r="V23" s="137">
        <v>50</v>
      </c>
      <c r="W23" s="238">
        <v>6</v>
      </c>
      <c r="X23" s="239">
        <v>6</v>
      </c>
      <c r="Y23" s="240">
        <f t="shared" si="0"/>
        <v>12</v>
      </c>
      <c r="AA23" s="142"/>
    </row>
    <row r="24" spans="21:27" ht="15.75">
      <c r="U24" s="175">
        <v>7</v>
      </c>
      <c r="V24" s="137">
        <v>100</v>
      </c>
      <c r="W24" s="238">
        <v>7</v>
      </c>
      <c r="X24" s="239">
        <v>7</v>
      </c>
      <c r="Y24" s="240">
        <f t="shared" si="0"/>
        <v>14</v>
      </c>
      <c r="AA24" s="142"/>
    </row>
    <row r="25" spans="21:27" ht="15.75">
      <c r="U25" s="226">
        <v>4</v>
      </c>
      <c r="V25" s="236">
        <f>VLOOKUP(U25,U18:V24,2)</f>
        <v>10</v>
      </c>
      <c r="W25" s="238">
        <v>8</v>
      </c>
      <c r="X25" s="239">
        <v>8</v>
      </c>
      <c r="Y25" s="240">
        <f t="shared" si="0"/>
        <v>16</v>
      </c>
      <c r="AA25" s="160"/>
    </row>
    <row r="26" spans="21:27" ht="15.75">
      <c r="U26" s="138" t="s">
        <v>87</v>
      </c>
      <c r="V26" s="237">
        <v>1</v>
      </c>
      <c r="W26" s="238">
        <v>9</v>
      </c>
      <c r="X26" s="239">
        <v>9</v>
      </c>
      <c r="Y26" s="240">
        <f t="shared" si="0"/>
        <v>18</v>
      </c>
      <c r="AA26" s="160"/>
    </row>
    <row r="27" spans="21:27" ht="15.75">
      <c r="U27" s="141" t="s">
        <v>88</v>
      </c>
      <c r="V27" s="141">
        <f>IF(V26=1,0,1000)</f>
        <v>0</v>
      </c>
      <c r="W27" s="238">
        <v>10</v>
      </c>
      <c r="X27" s="239">
        <v>10</v>
      </c>
      <c r="Y27" s="240">
        <f t="shared" si="0"/>
        <v>20</v>
      </c>
      <c r="AA27" s="160"/>
    </row>
    <row r="28" spans="21:27" ht="15.75">
      <c r="U28" s="141"/>
      <c r="V28" s="141"/>
      <c r="W28" s="238">
        <v>11</v>
      </c>
      <c r="X28" s="239">
        <v>1000</v>
      </c>
      <c r="Y28" s="240">
        <f t="shared" si="0"/>
        <v>2000</v>
      </c>
      <c r="AA28" s="160"/>
    </row>
    <row r="29" spans="22:27" ht="15.75">
      <c r="V29" s="176"/>
      <c r="W29" s="243">
        <v>10</v>
      </c>
      <c r="X29" s="241">
        <f>VLOOKUP(W29,W18:Y28,2,FALSE)</f>
        <v>10</v>
      </c>
      <c r="Y29" s="242">
        <f>VLOOKUP(W29,W18:Y28,3,FALSE)</f>
        <v>20</v>
      </c>
      <c r="AA29" s="160"/>
    </row>
    <row r="30" spans="21:41" ht="15.75">
      <c r="U30" s="177" t="s">
        <v>119</v>
      </c>
      <c r="V30" s="227">
        <v>40</v>
      </c>
      <c r="W30" s="182"/>
      <c r="X30" s="183"/>
      <c r="Y30" s="183"/>
      <c r="Z30" s="184" t="s">
        <v>120</v>
      </c>
      <c r="AA30" s="229">
        <v>10</v>
      </c>
      <c r="AB30" s="179"/>
      <c r="AC30" s="180"/>
      <c r="AD30" s="173" t="s">
        <v>156</v>
      </c>
      <c r="AE30" s="235"/>
      <c r="AF30" s="173" t="s">
        <v>161</v>
      </c>
      <c r="AG30" s="235"/>
      <c r="AH30" s="173" t="s">
        <v>166</v>
      </c>
      <c r="AI30" s="235"/>
      <c r="AJ30" s="235"/>
      <c r="AK30" s="174"/>
      <c r="AL30" s="173" t="s">
        <v>166</v>
      </c>
      <c r="AM30" s="235"/>
      <c r="AN30" s="235"/>
      <c r="AO30" s="174"/>
    </row>
    <row r="31" spans="7:41" ht="18.75">
      <c r="G31" s="259" t="s">
        <v>175</v>
      </c>
      <c r="U31" s="181" t="s">
        <v>126</v>
      </c>
      <c r="V31" s="201">
        <v>0.3</v>
      </c>
      <c r="W31" s="182"/>
      <c r="X31" s="183"/>
      <c r="Y31" s="183"/>
      <c r="Z31" s="184"/>
      <c r="AA31" s="185"/>
      <c r="AB31" s="186"/>
      <c r="AC31" s="187"/>
      <c r="AD31" s="175" t="s">
        <v>155</v>
      </c>
      <c r="AE31" s="137"/>
      <c r="AF31" s="175" t="s">
        <v>162</v>
      </c>
      <c r="AG31" s="137" t="s">
        <v>163</v>
      </c>
      <c r="AH31" s="175" t="s">
        <v>168</v>
      </c>
      <c r="AI31" s="255">
        <f>AD32</f>
        <v>-1.4169507140282618</v>
      </c>
      <c r="AJ31" s="137"/>
      <c r="AK31" s="247"/>
      <c r="AL31" s="175" t="s">
        <v>168</v>
      </c>
      <c r="AM31" s="255">
        <f>-AI31</f>
        <v>1.4169507140282618</v>
      </c>
      <c r="AN31" s="137"/>
      <c r="AO31" s="247"/>
    </row>
    <row r="32" spans="21:41" ht="15.75">
      <c r="U32" s="181" t="s">
        <v>121</v>
      </c>
      <c r="V32" s="188">
        <f>V30*V41/PI()</f>
        <v>38.197186342054884</v>
      </c>
      <c r="W32" s="182"/>
      <c r="X32" s="183"/>
      <c r="Y32" s="183"/>
      <c r="Z32" s="184" t="s">
        <v>122</v>
      </c>
      <c r="AA32" s="189">
        <f>AA30*V41/PI()</f>
        <v>9.549296585513721</v>
      </c>
      <c r="AB32" s="186"/>
      <c r="AC32" s="187"/>
      <c r="AD32" s="248">
        <f>-ACOS((V33+V40)/(Z38+(AA33*Z38/(ABS(V33+V40-AA33)))))</f>
        <v>-1.4169507140282618</v>
      </c>
      <c r="AE32" s="137" t="s">
        <v>56</v>
      </c>
      <c r="AF32" s="248">
        <f>AD35</f>
        <v>3.0032776144447495</v>
      </c>
      <c r="AG32" s="253">
        <f>-AE35</f>
        <v>-19.36711588889834</v>
      </c>
      <c r="AH32" s="175" t="s">
        <v>169</v>
      </c>
      <c r="AI32" s="256">
        <f>V33+AE33</f>
        <v>19.598593171027442</v>
      </c>
      <c r="AJ32" s="137"/>
      <c r="AK32" s="247"/>
      <c r="AL32" s="175" t="s">
        <v>169</v>
      </c>
      <c r="AM32" s="256">
        <f>AA33+AE33</f>
        <v>5.2746482927568605</v>
      </c>
      <c r="AN32" s="137"/>
      <c r="AO32" s="247"/>
    </row>
    <row r="33" spans="21:39" ht="15.75">
      <c r="U33" s="181" t="s">
        <v>123</v>
      </c>
      <c r="V33" s="188">
        <f>V32/2</f>
        <v>19.098593171027442</v>
      </c>
      <c r="W33" s="182"/>
      <c r="X33" s="183"/>
      <c r="Y33" s="183"/>
      <c r="Z33" s="184" t="s">
        <v>124</v>
      </c>
      <c r="AA33" s="189">
        <f>AA32/2</f>
        <v>4.7746482927568605</v>
      </c>
      <c r="AB33" s="186"/>
      <c r="AC33" s="187"/>
      <c r="AD33" s="175" t="s">
        <v>167</v>
      </c>
      <c r="AE33" s="252">
        <f>V40/2</f>
        <v>0.5</v>
      </c>
      <c r="AF33" s="246">
        <f>AD36</f>
        <v>100.80828419690471</v>
      </c>
      <c r="AG33" s="253">
        <f>-AE36</f>
        <v>-5.212349879787137</v>
      </c>
      <c r="AH33" s="134" t="s">
        <v>170</v>
      </c>
      <c r="AI33" s="251">
        <f>2*PI()+2*AI31</f>
        <v>3.4492838791230627</v>
      </c>
      <c r="AL33" s="134" t="s">
        <v>170</v>
      </c>
      <c r="AM33" s="251">
        <f>2*PI()-2*AM31</f>
        <v>3.4492838791230627</v>
      </c>
    </row>
    <row r="34" spans="21:33" ht="15.75">
      <c r="U34" s="181" t="s">
        <v>113</v>
      </c>
      <c r="V34" s="228">
        <v>30</v>
      </c>
      <c r="W34" s="182"/>
      <c r="X34" s="183"/>
      <c r="Y34" s="183"/>
      <c r="Z34" s="190" t="s">
        <v>116</v>
      </c>
      <c r="AA34" s="191">
        <f>V34*V30/AA30</f>
        <v>120</v>
      </c>
      <c r="AB34" s="186"/>
      <c r="AC34" s="187"/>
      <c r="AD34" s="175" t="s">
        <v>157</v>
      </c>
      <c r="AE34" s="137" t="s">
        <v>158</v>
      </c>
      <c r="AF34" s="250" t="s">
        <v>164</v>
      </c>
      <c r="AG34" s="236" t="s">
        <v>165</v>
      </c>
    </row>
    <row r="35" spans="21:41" ht="15.75">
      <c r="U35" s="181" t="s">
        <v>114</v>
      </c>
      <c r="V35" s="188">
        <f>1/(60/V34)</f>
        <v>0.5</v>
      </c>
      <c r="W35" s="182" t="s">
        <v>146</v>
      </c>
      <c r="X35" s="202">
        <f>1/V35</f>
        <v>2</v>
      </c>
      <c r="Y35" s="183" t="s">
        <v>3</v>
      </c>
      <c r="Z35" s="190" t="s">
        <v>117</v>
      </c>
      <c r="AA35" s="189">
        <f>1/(60/AA34)</f>
        <v>2</v>
      </c>
      <c r="AB35" s="186" t="s">
        <v>147</v>
      </c>
      <c r="AC35" s="187">
        <f>-1/AA35</f>
        <v>-0.5</v>
      </c>
      <c r="AD35" s="248">
        <f>($V$33+AE33)*COS($AD$32)</f>
        <v>3.0032776144447495</v>
      </c>
      <c r="AE35" s="253">
        <f>-($V$33+AE33)*SIN($AD$32)</f>
        <v>19.36711588889834</v>
      </c>
      <c r="AH35" s="175" t="s">
        <v>110</v>
      </c>
      <c r="AI35" s="255">
        <f>AI33/10</f>
        <v>0.3449283879123063</v>
      </c>
      <c r="AJ35" s="137"/>
      <c r="AK35" s="247"/>
      <c r="AL35" s="175" t="s">
        <v>110</v>
      </c>
      <c r="AM35" s="255">
        <f>AI35</f>
        <v>0.3449283879123063</v>
      </c>
      <c r="AN35" s="137"/>
      <c r="AO35" s="247"/>
    </row>
    <row r="36" spans="10:41" ht="15.75">
      <c r="J36" s="192"/>
      <c r="U36" s="193" t="s">
        <v>108</v>
      </c>
      <c r="V36" s="183"/>
      <c r="W36" s="183"/>
      <c r="X36" s="183"/>
      <c r="Y36" s="183"/>
      <c r="Z36" s="184" t="s">
        <v>108</v>
      </c>
      <c r="AA36" s="186"/>
      <c r="AB36" s="186"/>
      <c r="AC36" s="187"/>
      <c r="AD36" s="248">
        <f>($AA$33+AE33)*COS($AD$32)+$Z$38</f>
        <v>100.80828419690471</v>
      </c>
      <c r="AE36" s="253">
        <f>-($AA$33+AE33)*SIN($AD$32)</f>
        <v>5.212349879787137</v>
      </c>
      <c r="AH36" s="175" t="s">
        <v>4</v>
      </c>
      <c r="AI36" s="137" t="s">
        <v>115</v>
      </c>
      <c r="AJ36" s="137" t="s">
        <v>5</v>
      </c>
      <c r="AK36" s="247" t="s">
        <v>6</v>
      </c>
      <c r="AL36" s="175" t="s">
        <v>4</v>
      </c>
      <c r="AM36" s="137" t="s">
        <v>115</v>
      </c>
      <c r="AN36" s="137" t="s">
        <v>5</v>
      </c>
      <c r="AO36" s="247" t="s">
        <v>6</v>
      </c>
    </row>
    <row r="37" spans="10:41" ht="15.75">
      <c r="J37" s="194"/>
      <c r="U37" s="193" t="s">
        <v>5</v>
      </c>
      <c r="V37" s="183" t="s">
        <v>6</v>
      </c>
      <c r="W37" s="182"/>
      <c r="X37" s="183"/>
      <c r="Y37" s="183"/>
      <c r="Z37" s="184" t="s">
        <v>5</v>
      </c>
      <c r="AA37" s="186" t="s">
        <v>6</v>
      </c>
      <c r="AB37" s="186"/>
      <c r="AC37" s="187"/>
      <c r="AD37" s="249" t="s">
        <v>159</v>
      </c>
      <c r="AE37" s="254" t="s">
        <v>160</v>
      </c>
      <c r="AH37" s="238">
        <v>0</v>
      </c>
      <c r="AI37" s="252">
        <f aca="true" t="shared" si="1" ref="AI37:AI47">-$AI$31+AH37*$AI$35</f>
        <v>1.4169507140282618</v>
      </c>
      <c r="AJ37" s="253">
        <f aca="true" t="shared" si="2" ref="AJ37:AJ47">$AI$32*COS(AI37)</f>
        <v>3.0032776144447495</v>
      </c>
      <c r="AK37" s="240">
        <f aca="true" t="shared" si="3" ref="AK37:AK47">$AI$32*SIN(AI37)</f>
        <v>19.36711588889834</v>
      </c>
      <c r="AL37" s="238">
        <v>0</v>
      </c>
      <c r="AM37" s="252">
        <f aca="true" t="shared" si="4" ref="AM37:AM47">-$AI$31+AL37*$AI$35</f>
        <v>1.4169507140282618</v>
      </c>
      <c r="AN37" s="253">
        <f aca="true" t="shared" si="5" ref="AN37:AN47">$AM$32*COS(AM37)+$Z$38</f>
        <v>100.80828419690471</v>
      </c>
      <c r="AO37" s="240">
        <f aca="true" t="shared" si="6" ref="AO37:AO47">$AM$32*SIN(AM37)</f>
        <v>5.212349879787137</v>
      </c>
    </row>
    <row r="38" spans="21:41" ht="15.75">
      <c r="U38" s="195">
        <f>AA1*COS(AA19*U1-PI()/2)</f>
        <v>0</v>
      </c>
      <c r="V38" s="196">
        <v>0</v>
      </c>
      <c r="W38" s="188"/>
      <c r="X38" s="183"/>
      <c r="Y38" s="183"/>
      <c r="Z38" s="197">
        <v>100</v>
      </c>
      <c r="AA38" s="198">
        <v>0</v>
      </c>
      <c r="AB38" s="186"/>
      <c r="AC38" s="187"/>
      <c r="AD38" s="134" t="s">
        <v>171</v>
      </c>
      <c r="AE38" s="139">
        <f>SQRT((AD36-AD35)^2+(AE35-AE36)^2)</f>
        <v>98.8239683142087</v>
      </c>
      <c r="AH38" s="238">
        <v>1</v>
      </c>
      <c r="AI38" s="252">
        <f t="shared" si="1"/>
        <v>1.761879101940568</v>
      </c>
      <c r="AJ38" s="253">
        <f t="shared" si="2"/>
        <v>-3.7222054593526885</v>
      </c>
      <c r="AK38" s="240">
        <f t="shared" si="3"/>
        <v>19.24188246512821</v>
      </c>
      <c r="AL38" s="238">
        <v>-1</v>
      </c>
      <c r="AM38" s="252">
        <f t="shared" si="4"/>
        <v>1.0720223261159556</v>
      </c>
      <c r="AN38" s="253">
        <f t="shared" si="5"/>
        <v>102.52312412312178</v>
      </c>
      <c r="AO38" s="240">
        <f t="shared" si="6"/>
        <v>4.632036190662142</v>
      </c>
    </row>
    <row r="39" spans="21:41" ht="15.75">
      <c r="U39" s="199" t="s">
        <v>109</v>
      </c>
      <c r="V39" s="200"/>
      <c r="W39" s="182"/>
      <c r="X39" s="183"/>
      <c r="Y39" s="183"/>
      <c r="Z39" s="184" t="s">
        <v>109</v>
      </c>
      <c r="AA39" s="186"/>
      <c r="AB39" s="186"/>
      <c r="AC39" s="187"/>
      <c r="AD39" s="134" t="s">
        <v>172</v>
      </c>
      <c r="AE39" s="139">
        <f>AE38/V41</f>
        <v>32.9413227714029</v>
      </c>
      <c r="AH39" s="238">
        <v>2</v>
      </c>
      <c r="AI39" s="252">
        <f t="shared" si="1"/>
        <v>2.1068074898528746</v>
      </c>
      <c r="AJ39" s="253">
        <f t="shared" si="2"/>
        <v>-10.009210267155881</v>
      </c>
      <c r="AK39" s="240">
        <f t="shared" si="3"/>
        <v>16.849942555133673</v>
      </c>
      <c r="AL39" s="238">
        <v>-2</v>
      </c>
      <c r="AM39" s="252">
        <f t="shared" si="4"/>
        <v>0.7270939382036492</v>
      </c>
      <c r="AN39" s="253">
        <f t="shared" si="5"/>
        <v>103.94073835815223</v>
      </c>
      <c r="AO39" s="240">
        <f t="shared" si="6"/>
        <v>3.5060655733842956</v>
      </c>
    </row>
    <row r="40" spans="21:41" ht="15.75">
      <c r="U40" s="193" t="s">
        <v>111</v>
      </c>
      <c r="V40" s="201">
        <v>1</v>
      </c>
      <c r="W40" s="202"/>
      <c r="X40" s="202"/>
      <c r="Y40" s="202"/>
      <c r="Z40" s="203" t="s">
        <v>111</v>
      </c>
      <c r="AA40" s="189">
        <f>V40</f>
        <v>1</v>
      </c>
      <c r="AB40" s="186"/>
      <c r="AC40" s="187"/>
      <c r="AH40" s="238">
        <v>3</v>
      </c>
      <c r="AI40" s="252">
        <f t="shared" si="1"/>
        <v>2.4517358777651808</v>
      </c>
      <c r="AJ40" s="253">
        <f t="shared" si="2"/>
        <v>-15.117123482664853</v>
      </c>
      <c r="AK40" s="240">
        <f t="shared" si="3"/>
        <v>12.473068262993928</v>
      </c>
      <c r="AL40" s="238">
        <v>-3</v>
      </c>
      <c r="AM40" s="252">
        <f t="shared" si="4"/>
        <v>0.3821655502913428</v>
      </c>
      <c r="AN40" s="253">
        <f t="shared" si="5"/>
        <v>104.89413100711255</v>
      </c>
      <c r="AO40" s="240">
        <f t="shared" si="6"/>
        <v>1.9670781116931806</v>
      </c>
    </row>
    <row r="41" spans="21:41" ht="15.75">
      <c r="U41" s="193" t="s">
        <v>112</v>
      </c>
      <c r="V41" s="204">
        <v>3</v>
      </c>
      <c r="W41" s="202"/>
      <c r="X41" s="202"/>
      <c r="Y41" s="202"/>
      <c r="Z41" s="203" t="s">
        <v>112</v>
      </c>
      <c r="AA41" s="189">
        <f>V41</f>
        <v>3</v>
      </c>
      <c r="AB41" s="186"/>
      <c r="AC41" s="187"/>
      <c r="AH41" s="238">
        <v>4</v>
      </c>
      <c r="AI41" s="252">
        <f t="shared" si="1"/>
        <v>2.796664265677487</v>
      </c>
      <c r="AJ41" s="253">
        <f t="shared" si="2"/>
        <v>-18.44422954932487</v>
      </c>
      <c r="AK41" s="240">
        <f t="shared" si="3"/>
        <v>6.626858276382164</v>
      </c>
      <c r="AL41" s="238">
        <v>-4</v>
      </c>
      <c r="AM41" s="252">
        <f t="shared" si="4"/>
        <v>0.037237162379036626</v>
      </c>
      <c r="AN41" s="253">
        <f t="shared" si="5"/>
        <v>105.27099178512111</v>
      </c>
      <c r="AO41" s="240">
        <f t="shared" si="6"/>
        <v>0.1963675468823176</v>
      </c>
    </row>
    <row r="42" spans="21:41" ht="15.75">
      <c r="U42" s="199" t="s">
        <v>110</v>
      </c>
      <c r="V42" s="188">
        <f>2*PI()/(2*V30)</f>
        <v>0.07853981633974483</v>
      </c>
      <c r="W42" s="182"/>
      <c r="X42" s="183"/>
      <c r="Y42" s="183"/>
      <c r="Z42" s="184" t="s">
        <v>110</v>
      </c>
      <c r="AA42" s="189">
        <f>2*PI()/(2*AA30)</f>
        <v>0.3141592653589793</v>
      </c>
      <c r="AB42" s="186"/>
      <c r="AC42" s="187"/>
      <c r="AH42" s="238">
        <v>5</v>
      </c>
      <c r="AI42" s="252">
        <f t="shared" si="1"/>
        <v>3.141592653589793</v>
      </c>
      <c r="AJ42" s="253">
        <f t="shared" si="2"/>
        <v>-19.598593171027442</v>
      </c>
      <c r="AK42" s="240">
        <f t="shared" si="3"/>
        <v>2.40111861418669E-15</v>
      </c>
      <c r="AL42" s="238">
        <v>-5</v>
      </c>
      <c r="AM42" s="252">
        <f t="shared" si="4"/>
        <v>-0.30769122553326955</v>
      </c>
      <c r="AN42" s="253">
        <f t="shared" si="5"/>
        <v>105.02692624316997</v>
      </c>
      <c r="AO42" s="240">
        <f t="shared" si="6"/>
        <v>-1.597475244882368</v>
      </c>
    </row>
    <row r="43" spans="21:41" ht="15.75">
      <c r="U43" s="205" t="s">
        <v>4</v>
      </c>
      <c r="V43" s="182" t="s">
        <v>106</v>
      </c>
      <c r="W43" s="183" t="s">
        <v>115</v>
      </c>
      <c r="X43" s="188" t="s">
        <v>26</v>
      </c>
      <c r="Y43" s="182" t="s">
        <v>27</v>
      </c>
      <c r="Z43" s="206" t="s">
        <v>4</v>
      </c>
      <c r="AA43" s="198" t="s">
        <v>106</v>
      </c>
      <c r="AB43" s="198" t="s">
        <v>5</v>
      </c>
      <c r="AC43" s="207" t="s">
        <v>6</v>
      </c>
      <c r="AH43" s="238">
        <v>6</v>
      </c>
      <c r="AI43" s="252">
        <f t="shared" si="1"/>
        <v>3.4865210415020997</v>
      </c>
      <c r="AJ43" s="253">
        <f t="shared" si="2"/>
        <v>-18.44422954932487</v>
      </c>
      <c r="AK43" s="240">
        <f t="shared" si="3"/>
        <v>-6.626858276382166</v>
      </c>
      <c r="AL43" s="238">
        <v>-6</v>
      </c>
      <c r="AM43" s="252">
        <f t="shared" si="4"/>
        <v>-0.6526196134455762</v>
      </c>
      <c r="AN43" s="253">
        <f t="shared" si="5"/>
        <v>104.19068546359249</v>
      </c>
      <c r="AO43" s="240">
        <f t="shared" si="6"/>
        <v>-3.2031343957938234</v>
      </c>
    </row>
    <row r="44" spans="20:41" ht="15.75">
      <c r="T44" s="134">
        <v>0</v>
      </c>
      <c r="U44" s="208">
        <f aca="true" t="shared" si="7" ref="U44:U75">MIN(T44,2*$V$30)</f>
        <v>0</v>
      </c>
      <c r="V44" s="188">
        <f aca="true" t="shared" si="8" ref="V44:V75">IF(U44/2=ROUND(U44/2,0),$V$33+$V$40,$V$33)</f>
        <v>20.098593171027442</v>
      </c>
      <c r="W44" s="188">
        <f aca="true" t="shared" si="9" ref="W44:W75">U44*$V$42</f>
        <v>0</v>
      </c>
      <c r="X44" s="188">
        <f aca="true" t="shared" si="10" ref="X44:X75">V44*COS(W44+2*PI()*$V$35*$U$3)+$U$38</f>
        <v>20.098593171027442</v>
      </c>
      <c r="Y44" s="188">
        <f aca="true" t="shared" si="11" ref="Y44:Y75">V44*SIN(W44+2*PI()*$V$35*$U$3)+$V$38</f>
        <v>0</v>
      </c>
      <c r="Z44" s="206">
        <f aca="true" t="shared" si="12" ref="Z44:Z75">MIN(T44,2*$AA$30)</f>
        <v>0</v>
      </c>
      <c r="AA44" s="189">
        <f aca="true" t="shared" si="13" ref="AA44:AA75">IF(Z44/2=ROUND(Z44/2,0),$AA$33+$AA$40,$AA$33)</f>
        <v>5.7746482927568605</v>
      </c>
      <c r="AB44" s="189">
        <f aca="true" t="shared" si="14" ref="AB44:AB75">AA44*COS(Z44*$AA$42+2*PI()*$AA$35*$U$3+$AA$42+PI())+$Z$38</f>
        <v>94.50798311186091</v>
      </c>
      <c r="AC44" s="209">
        <f aca="true" t="shared" si="15" ref="AC44:AC75">AA44*SIN(Z44*$AA$42+2*PI()*$AA$35*$U$3+$AA$42+PI())+$AA$38</f>
        <v>-1.7844644590001457</v>
      </c>
      <c r="AH44" s="238">
        <v>7</v>
      </c>
      <c r="AI44" s="252">
        <f t="shared" si="1"/>
        <v>3.831449429414406</v>
      </c>
      <c r="AJ44" s="253">
        <f t="shared" si="2"/>
        <v>-15.117123482664852</v>
      </c>
      <c r="AK44" s="240">
        <f t="shared" si="3"/>
        <v>-12.47306826299393</v>
      </c>
      <c r="AL44" s="238">
        <v>-7</v>
      </c>
      <c r="AM44" s="252">
        <f t="shared" si="4"/>
        <v>-0.9975480013578824</v>
      </c>
      <c r="AN44" s="253">
        <f t="shared" si="5"/>
        <v>102.86077916354078</v>
      </c>
      <c r="AO44" s="240">
        <f t="shared" si="6"/>
        <v>-4.431462195453519</v>
      </c>
    </row>
    <row r="45" spans="20:41" ht="15.75">
      <c r="T45" s="134">
        <v>1</v>
      </c>
      <c r="U45" s="208">
        <f t="shared" si="7"/>
        <v>1</v>
      </c>
      <c r="V45" s="188">
        <f t="shared" si="8"/>
        <v>19.098593171027442</v>
      </c>
      <c r="W45" s="188">
        <f t="shared" si="9"/>
        <v>0.07853981633974483</v>
      </c>
      <c r="X45" s="188">
        <f t="shared" si="10"/>
        <v>19.039718582114403</v>
      </c>
      <c r="Y45" s="188">
        <f t="shared" si="11"/>
        <v>1.498458349872808</v>
      </c>
      <c r="Z45" s="206">
        <f t="shared" si="12"/>
        <v>1</v>
      </c>
      <c r="AA45" s="189">
        <f t="shared" si="13"/>
        <v>4.7746482927568605</v>
      </c>
      <c r="AB45" s="189">
        <f t="shared" si="14"/>
        <v>96.13722838899638</v>
      </c>
      <c r="AC45" s="209">
        <f t="shared" si="15"/>
        <v>-2.806467851365917</v>
      </c>
      <c r="AH45" s="238">
        <v>8</v>
      </c>
      <c r="AI45" s="252">
        <f t="shared" si="1"/>
        <v>4.176377817326712</v>
      </c>
      <c r="AJ45" s="253">
        <f t="shared" si="2"/>
        <v>-10.009210267155886</v>
      </c>
      <c r="AK45" s="240">
        <f t="shared" si="3"/>
        <v>-16.849942555133673</v>
      </c>
      <c r="AL45" s="238">
        <v>-8</v>
      </c>
      <c r="AM45" s="252">
        <f t="shared" si="4"/>
        <v>-1.3424763892701885</v>
      </c>
      <c r="AN45" s="253">
        <f t="shared" si="5"/>
        <v>101.19387118512392</v>
      </c>
      <c r="AO45" s="240">
        <f t="shared" si="6"/>
        <v>-5.137760816310318</v>
      </c>
    </row>
    <row r="46" spans="20:41" ht="15.75">
      <c r="T46" s="134">
        <v>2</v>
      </c>
      <c r="U46" s="208">
        <f t="shared" si="7"/>
        <v>2</v>
      </c>
      <c r="V46" s="188">
        <f t="shared" si="8"/>
        <v>20.098593171027442</v>
      </c>
      <c r="W46" s="188">
        <f t="shared" si="9"/>
        <v>0.15707963267948966</v>
      </c>
      <c r="X46" s="188">
        <f t="shared" si="10"/>
        <v>19.851146137388863</v>
      </c>
      <c r="Y46" s="188">
        <f t="shared" si="11"/>
        <v>3.1441126707709155</v>
      </c>
      <c r="Z46" s="206">
        <f t="shared" si="12"/>
        <v>2</v>
      </c>
      <c r="AA46" s="189">
        <f t="shared" si="13"/>
        <v>5.7746482927568605</v>
      </c>
      <c r="AB46" s="189">
        <f t="shared" si="14"/>
        <v>96.60574689634161</v>
      </c>
      <c r="AC46" s="209">
        <f t="shared" si="15"/>
        <v>-4.671788605378576</v>
      </c>
      <c r="AH46" s="238">
        <v>9</v>
      </c>
      <c r="AI46" s="252">
        <f t="shared" si="1"/>
        <v>4.521306205239018</v>
      </c>
      <c r="AJ46" s="253">
        <f t="shared" si="2"/>
        <v>-3.7222054593527014</v>
      </c>
      <c r="AK46" s="240">
        <f t="shared" si="3"/>
        <v>-19.241882465128207</v>
      </c>
      <c r="AL46" s="238">
        <v>-9</v>
      </c>
      <c r="AM46" s="252">
        <f t="shared" si="4"/>
        <v>-1.6874047771824947</v>
      </c>
      <c r="AN46" s="253">
        <f t="shared" si="5"/>
        <v>99.38632439114724</v>
      </c>
      <c r="AO46" s="240">
        <f t="shared" si="6"/>
        <v>-5.23882781348863</v>
      </c>
    </row>
    <row r="47" spans="20:41" ht="15.75">
      <c r="T47" s="134">
        <v>3</v>
      </c>
      <c r="U47" s="208">
        <f t="shared" si="7"/>
        <v>3</v>
      </c>
      <c r="V47" s="188">
        <f t="shared" si="8"/>
        <v>19.098593171027442</v>
      </c>
      <c r="W47" s="188">
        <f t="shared" si="9"/>
        <v>0.23561944901923448</v>
      </c>
      <c r="X47" s="188">
        <f t="shared" si="10"/>
        <v>18.570897521419564</v>
      </c>
      <c r="Y47" s="188">
        <f t="shared" si="11"/>
        <v>4.458478031946411</v>
      </c>
      <c r="Z47" s="206">
        <f t="shared" si="12"/>
        <v>3</v>
      </c>
      <c r="AA47" s="189">
        <f t="shared" si="13"/>
        <v>4.7746482927568605</v>
      </c>
      <c r="AB47" s="189">
        <f t="shared" si="14"/>
        <v>98.5245525353748</v>
      </c>
      <c r="AC47" s="209">
        <f t="shared" si="15"/>
        <v>-4.540960371843942</v>
      </c>
      <c r="AH47" s="249">
        <v>10</v>
      </c>
      <c r="AI47" s="252">
        <f t="shared" si="1"/>
        <v>4.866234593151324</v>
      </c>
      <c r="AJ47" s="257">
        <f t="shared" si="2"/>
        <v>3.0032776144447357</v>
      </c>
      <c r="AK47" s="258">
        <f t="shared" si="3"/>
        <v>-19.367115888898343</v>
      </c>
      <c r="AL47" s="238">
        <v>-10</v>
      </c>
      <c r="AM47" s="252">
        <f t="shared" si="4"/>
        <v>-2.032333165094801</v>
      </c>
      <c r="AN47" s="253">
        <f t="shared" si="5"/>
        <v>97.65106898994593</v>
      </c>
      <c r="AO47" s="240">
        <f t="shared" si="6"/>
        <v>-4.7227574278475535</v>
      </c>
    </row>
    <row r="48" spans="20:29" ht="15.75">
      <c r="T48" s="134">
        <v>4</v>
      </c>
      <c r="U48" s="208">
        <f t="shared" si="7"/>
        <v>4</v>
      </c>
      <c r="V48" s="188">
        <f t="shared" si="8"/>
        <v>20.098593171027442</v>
      </c>
      <c r="W48" s="188">
        <f t="shared" si="9"/>
        <v>0.3141592653589793</v>
      </c>
      <c r="X48" s="188">
        <f t="shared" si="10"/>
        <v>19.114898003670923</v>
      </c>
      <c r="Y48" s="188">
        <f t="shared" si="11"/>
        <v>6.210806852875743</v>
      </c>
      <c r="Z48" s="206">
        <f t="shared" si="12"/>
        <v>4</v>
      </c>
      <c r="AA48" s="189">
        <f t="shared" si="13"/>
        <v>5.7746482927568605</v>
      </c>
      <c r="AB48" s="189">
        <f t="shared" si="14"/>
        <v>100</v>
      </c>
      <c r="AC48" s="209">
        <f t="shared" si="15"/>
        <v>-5.7746482927568605</v>
      </c>
    </row>
    <row r="49" spans="2:29" ht="15.75">
      <c r="B49" s="260"/>
      <c r="C49" s="261"/>
      <c r="T49" s="134">
        <v>5</v>
      </c>
      <c r="U49" s="208">
        <f t="shared" si="7"/>
        <v>5</v>
      </c>
      <c r="V49" s="188">
        <f t="shared" si="8"/>
        <v>19.098593171027442</v>
      </c>
      <c r="W49" s="188">
        <f t="shared" si="9"/>
        <v>0.39269908169872414</v>
      </c>
      <c r="X49" s="188">
        <f t="shared" si="10"/>
        <v>17.644799330472086</v>
      </c>
      <c r="Y49" s="188">
        <f t="shared" si="11"/>
        <v>7.308715188033246</v>
      </c>
      <c r="Z49" s="206">
        <f t="shared" si="12"/>
        <v>5</v>
      </c>
      <c r="AA49" s="189">
        <f t="shared" si="13"/>
        <v>4.7746482927568605</v>
      </c>
      <c r="AB49" s="189">
        <f t="shared" si="14"/>
        <v>101.4754474646252</v>
      </c>
      <c r="AC49" s="209">
        <f t="shared" si="15"/>
        <v>-4.540960371843942</v>
      </c>
    </row>
    <row r="50" spans="20:29" ht="15.75">
      <c r="T50" s="134">
        <v>6</v>
      </c>
      <c r="U50" s="208">
        <f t="shared" si="7"/>
        <v>6</v>
      </c>
      <c r="V50" s="188">
        <f t="shared" si="8"/>
        <v>20.098593171027442</v>
      </c>
      <c r="W50" s="188">
        <f t="shared" si="9"/>
        <v>0.47123889803846897</v>
      </c>
      <c r="X50" s="188">
        <f t="shared" si="10"/>
        <v>17.907977642393227</v>
      </c>
      <c r="Y50" s="188">
        <f t="shared" si="11"/>
        <v>9.12457035777659</v>
      </c>
      <c r="Z50" s="206">
        <f t="shared" si="12"/>
        <v>6</v>
      </c>
      <c r="AA50" s="189">
        <f t="shared" si="13"/>
        <v>5.7746482927568605</v>
      </c>
      <c r="AB50" s="189">
        <f t="shared" si="14"/>
        <v>103.39425310365839</v>
      </c>
      <c r="AC50" s="209">
        <f t="shared" si="15"/>
        <v>-4.671788605378578</v>
      </c>
    </row>
    <row r="51" spans="20:29" ht="15.75">
      <c r="T51" s="134">
        <v>7</v>
      </c>
      <c r="U51" s="208">
        <f t="shared" si="7"/>
        <v>7</v>
      </c>
      <c r="V51" s="188">
        <f t="shared" si="8"/>
        <v>19.098593171027442</v>
      </c>
      <c r="W51" s="188">
        <f t="shared" si="9"/>
        <v>0.5497787143782138</v>
      </c>
      <c r="X51" s="188">
        <f t="shared" si="10"/>
        <v>16.28422762027678</v>
      </c>
      <c r="Y51" s="188">
        <f t="shared" si="11"/>
        <v>9.978987519955659</v>
      </c>
      <c r="Z51" s="206">
        <f t="shared" si="12"/>
        <v>7</v>
      </c>
      <c r="AA51" s="189">
        <f t="shared" si="13"/>
        <v>4.7746482927568605</v>
      </c>
      <c r="AB51" s="189">
        <f t="shared" si="14"/>
        <v>103.86277161100362</v>
      </c>
      <c r="AC51" s="209">
        <f t="shared" si="15"/>
        <v>-2.8064678513659183</v>
      </c>
    </row>
    <row r="52" spans="20:29" ht="15.75">
      <c r="T52" s="134">
        <v>8</v>
      </c>
      <c r="U52" s="208">
        <f t="shared" si="7"/>
        <v>8</v>
      </c>
      <c r="V52" s="188">
        <f t="shared" si="8"/>
        <v>20.098593171027442</v>
      </c>
      <c r="W52" s="188">
        <f t="shared" si="9"/>
        <v>0.6283185307179586</v>
      </c>
      <c r="X52" s="188">
        <f t="shared" si="10"/>
        <v>16.260103438389464</v>
      </c>
      <c r="Y52" s="188">
        <f t="shared" si="11"/>
        <v>11.813656657756143</v>
      </c>
      <c r="Z52" s="206">
        <f t="shared" si="12"/>
        <v>8</v>
      </c>
      <c r="AA52" s="189">
        <f t="shared" si="13"/>
        <v>5.7746482927568605</v>
      </c>
      <c r="AB52" s="189">
        <f t="shared" si="14"/>
        <v>105.49201688813909</v>
      </c>
      <c r="AC52" s="209">
        <f t="shared" si="15"/>
        <v>-1.7844644590001477</v>
      </c>
    </row>
    <row r="53" spans="20:29" ht="15.75">
      <c r="T53" s="134">
        <v>9</v>
      </c>
      <c r="U53" s="208">
        <f t="shared" si="7"/>
        <v>9</v>
      </c>
      <c r="V53" s="188">
        <f t="shared" si="8"/>
        <v>19.098593171027442</v>
      </c>
      <c r="W53" s="188">
        <f t="shared" si="9"/>
        <v>0.7068583470577035</v>
      </c>
      <c r="X53" s="188">
        <f t="shared" si="10"/>
        <v>14.52268418181728</v>
      </c>
      <c r="Y53" s="188">
        <f t="shared" si="11"/>
        <v>12.403544060775946</v>
      </c>
      <c r="Z53" s="206">
        <f t="shared" si="12"/>
        <v>9</v>
      </c>
      <c r="AA53" s="189">
        <f t="shared" si="13"/>
        <v>4.7746482927568605</v>
      </c>
      <c r="AB53" s="189">
        <f t="shared" si="14"/>
        <v>104.77464829275686</v>
      </c>
      <c r="AC53" s="209">
        <f t="shared" si="15"/>
        <v>-1.1699305957206295E-15</v>
      </c>
    </row>
    <row r="54" spans="20:29" ht="15.75">
      <c r="T54" s="134">
        <v>10</v>
      </c>
      <c r="U54" s="208">
        <f t="shared" si="7"/>
        <v>10</v>
      </c>
      <c r="V54" s="188">
        <f t="shared" si="8"/>
        <v>20.098593171027442</v>
      </c>
      <c r="W54" s="188">
        <f t="shared" si="9"/>
        <v>0.7853981633974483</v>
      </c>
      <c r="X54" s="188">
        <f t="shared" si="10"/>
        <v>14.21185152354314</v>
      </c>
      <c r="Y54" s="188">
        <f t="shared" si="11"/>
        <v>14.211851523543139</v>
      </c>
      <c r="Z54" s="206">
        <f t="shared" si="12"/>
        <v>10</v>
      </c>
      <c r="AA54" s="189">
        <f t="shared" si="13"/>
        <v>5.7746482927568605</v>
      </c>
      <c r="AB54" s="189">
        <f t="shared" si="14"/>
        <v>105.49201688813909</v>
      </c>
      <c r="AC54" s="209">
        <f t="shared" si="15"/>
        <v>1.784464459000145</v>
      </c>
    </row>
    <row r="55" spans="20:29" ht="15.75">
      <c r="T55" s="134">
        <v>11</v>
      </c>
      <c r="U55" s="208">
        <f t="shared" si="7"/>
        <v>11</v>
      </c>
      <c r="V55" s="188">
        <f t="shared" si="8"/>
        <v>19.098593171027442</v>
      </c>
      <c r="W55" s="188">
        <f t="shared" si="9"/>
        <v>0.8639379797371931</v>
      </c>
      <c r="X55" s="188">
        <f t="shared" si="10"/>
        <v>12.403544060775946</v>
      </c>
      <c r="Y55" s="188">
        <f t="shared" si="11"/>
        <v>14.52268418181728</v>
      </c>
      <c r="Z55" s="206">
        <f t="shared" si="12"/>
        <v>11</v>
      </c>
      <c r="AA55" s="189">
        <f t="shared" si="13"/>
        <v>4.7746482927568605</v>
      </c>
      <c r="AB55" s="189">
        <f t="shared" si="14"/>
        <v>103.86277161100362</v>
      </c>
      <c r="AC55" s="209">
        <f t="shared" si="15"/>
        <v>2.8064678513659165</v>
      </c>
    </row>
    <row r="56" spans="20:29" ht="15.75">
      <c r="T56" s="134">
        <v>12</v>
      </c>
      <c r="U56" s="208">
        <f t="shared" si="7"/>
        <v>12</v>
      </c>
      <c r="V56" s="188">
        <f t="shared" si="8"/>
        <v>20.098593171027442</v>
      </c>
      <c r="W56" s="188">
        <f t="shared" si="9"/>
        <v>0.9424777960769379</v>
      </c>
      <c r="X56" s="188">
        <f t="shared" si="10"/>
        <v>11.813656657756143</v>
      </c>
      <c r="Y56" s="188">
        <f t="shared" si="11"/>
        <v>16.260103438389464</v>
      </c>
      <c r="Z56" s="206">
        <f t="shared" si="12"/>
        <v>12</v>
      </c>
      <c r="AA56" s="189">
        <f t="shared" si="13"/>
        <v>5.7746482927568605</v>
      </c>
      <c r="AB56" s="189">
        <f t="shared" si="14"/>
        <v>103.39425310365839</v>
      </c>
      <c r="AC56" s="209">
        <f t="shared" si="15"/>
        <v>4.671788605378576</v>
      </c>
    </row>
    <row r="57" spans="20:29" ht="15.75">
      <c r="T57" s="134">
        <v>13</v>
      </c>
      <c r="U57" s="208">
        <f t="shared" si="7"/>
        <v>13</v>
      </c>
      <c r="V57" s="188">
        <f t="shared" si="8"/>
        <v>19.098593171027442</v>
      </c>
      <c r="W57" s="188">
        <f t="shared" si="9"/>
        <v>1.0210176124166828</v>
      </c>
      <c r="X57" s="188">
        <f t="shared" si="10"/>
        <v>9.978987519955663</v>
      </c>
      <c r="Y57" s="188">
        <f t="shared" si="11"/>
        <v>16.28422762027678</v>
      </c>
      <c r="Z57" s="206">
        <f t="shared" si="12"/>
        <v>13</v>
      </c>
      <c r="AA57" s="189">
        <f t="shared" si="13"/>
        <v>4.7746482927568605</v>
      </c>
      <c r="AB57" s="189">
        <f t="shared" si="14"/>
        <v>101.4754474646252</v>
      </c>
      <c r="AC57" s="209">
        <f t="shared" si="15"/>
        <v>4.540960371843942</v>
      </c>
    </row>
    <row r="58" spans="20:29" ht="15.75">
      <c r="T58" s="134">
        <v>14</v>
      </c>
      <c r="U58" s="208">
        <f t="shared" si="7"/>
        <v>14</v>
      </c>
      <c r="V58" s="188">
        <f t="shared" si="8"/>
        <v>20.098593171027442</v>
      </c>
      <c r="W58" s="188">
        <f t="shared" si="9"/>
        <v>1.0995574287564276</v>
      </c>
      <c r="X58" s="188">
        <f t="shared" si="10"/>
        <v>9.12457035777659</v>
      </c>
      <c r="Y58" s="188">
        <f t="shared" si="11"/>
        <v>17.907977642393227</v>
      </c>
      <c r="Z58" s="206">
        <f t="shared" si="12"/>
        <v>14</v>
      </c>
      <c r="AA58" s="189">
        <f t="shared" si="13"/>
        <v>5.7746482927568605</v>
      </c>
      <c r="AB58" s="189">
        <f t="shared" si="14"/>
        <v>100</v>
      </c>
      <c r="AC58" s="209">
        <f t="shared" si="15"/>
        <v>5.7746482927568605</v>
      </c>
    </row>
    <row r="59" spans="20:29" ht="15.75">
      <c r="T59" s="134">
        <v>15</v>
      </c>
      <c r="U59" s="208">
        <f t="shared" si="7"/>
        <v>15</v>
      </c>
      <c r="V59" s="188">
        <f t="shared" si="8"/>
        <v>19.098593171027442</v>
      </c>
      <c r="W59" s="188">
        <f t="shared" si="9"/>
        <v>1.1780972450961724</v>
      </c>
      <c r="X59" s="188">
        <f t="shared" si="10"/>
        <v>7.308715188033247</v>
      </c>
      <c r="Y59" s="188">
        <f t="shared" si="11"/>
        <v>17.644799330472086</v>
      </c>
      <c r="Z59" s="206">
        <f t="shared" si="12"/>
        <v>15</v>
      </c>
      <c r="AA59" s="189">
        <f t="shared" si="13"/>
        <v>4.7746482927568605</v>
      </c>
      <c r="AB59" s="189">
        <f t="shared" si="14"/>
        <v>98.52455253537481</v>
      </c>
      <c r="AC59" s="209">
        <f t="shared" si="15"/>
        <v>4.540960371843942</v>
      </c>
    </row>
    <row r="60" spans="20:29" ht="15.75">
      <c r="T60" s="134">
        <v>16</v>
      </c>
      <c r="U60" s="208">
        <f t="shared" si="7"/>
        <v>16</v>
      </c>
      <c r="V60" s="188">
        <f t="shared" si="8"/>
        <v>20.098593171027442</v>
      </c>
      <c r="W60" s="188">
        <f t="shared" si="9"/>
        <v>1.2566370614359172</v>
      </c>
      <c r="X60" s="188">
        <f t="shared" si="10"/>
        <v>6.210806852875744</v>
      </c>
      <c r="Y60" s="188">
        <f t="shared" si="11"/>
        <v>19.114898003670923</v>
      </c>
      <c r="Z60" s="206">
        <f t="shared" si="12"/>
        <v>16</v>
      </c>
      <c r="AA60" s="189">
        <f t="shared" si="13"/>
        <v>5.7746482927568605</v>
      </c>
      <c r="AB60" s="189">
        <f t="shared" si="14"/>
        <v>96.60574689634161</v>
      </c>
      <c r="AC60" s="209">
        <f t="shared" si="15"/>
        <v>4.671788605378579</v>
      </c>
    </row>
    <row r="61" spans="20:29" ht="15.75">
      <c r="T61" s="134">
        <v>17</v>
      </c>
      <c r="U61" s="208">
        <f t="shared" si="7"/>
        <v>17</v>
      </c>
      <c r="V61" s="188">
        <f t="shared" si="8"/>
        <v>19.098593171027442</v>
      </c>
      <c r="W61" s="188">
        <f t="shared" si="9"/>
        <v>1.335176877775662</v>
      </c>
      <c r="X61" s="188">
        <f t="shared" si="10"/>
        <v>4.458478031946413</v>
      </c>
      <c r="Y61" s="188">
        <f t="shared" si="11"/>
        <v>18.570897521419564</v>
      </c>
      <c r="Z61" s="206">
        <f t="shared" si="12"/>
        <v>17</v>
      </c>
      <c r="AA61" s="189">
        <f t="shared" si="13"/>
        <v>4.7746482927568605</v>
      </c>
      <c r="AB61" s="189">
        <f t="shared" si="14"/>
        <v>96.13722838899638</v>
      </c>
      <c r="AC61" s="209">
        <f t="shared" si="15"/>
        <v>2.8064678513659183</v>
      </c>
    </row>
    <row r="62" spans="20:29" ht="15.75">
      <c r="T62" s="134">
        <v>18</v>
      </c>
      <c r="U62" s="208">
        <f t="shared" si="7"/>
        <v>18</v>
      </c>
      <c r="V62" s="188">
        <f t="shared" si="8"/>
        <v>20.098593171027442</v>
      </c>
      <c r="W62" s="188">
        <f t="shared" si="9"/>
        <v>1.413716694115407</v>
      </c>
      <c r="X62" s="188">
        <f t="shared" si="10"/>
        <v>3.1441126707709164</v>
      </c>
      <c r="Y62" s="188">
        <f t="shared" si="11"/>
        <v>19.851146137388863</v>
      </c>
      <c r="Z62" s="206">
        <f t="shared" si="12"/>
        <v>18</v>
      </c>
      <c r="AA62" s="189">
        <f t="shared" si="13"/>
        <v>5.7746482927568605</v>
      </c>
      <c r="AB62" s="189">
        <f t="shared" si="14"/>
        <v>94.50798311186091</v>
      </c>
      <c r="AC62" s="209">
        <f t="shared" si="15"/>
        <v>1.7844644590001486</v>
      </c>
    </row>
    <row r="63" spans="20:29" ht="15.75">
      <c r="T63" s="134">
        <v>19</v>
      </c>
      <c r="U63" s="208">
        <f t="shared" si="7"/>
        <v>19</v>
      </c>
      <c r="V63" s="188">
        <f t="shared" si="8"/>
        <v>19.098593171027442</v>
      </c>
      <c r="W63" s="188">
        <f t="shared" si="9"/>
        <v>1.4922565104551517</v>
      </c>
      <c r="X63" s="188">
        <f t="shared" si="10"/>
        <v>1.4984583498728088</v>
      </c>
      <c r="Y63" s="188">
        <f t="shared" si="11"/>
        <v>19.039718582114403</v>
      </c>
      <c r="Z63" s="206">
        <f t="shared" si="12"/>
        <v>19</v>
      </c>
      <c r="AA63" s="189">
        <f t="shared" si="13"/>
        <v>4.7746482927568605</v>
      </c>
      <c r="AB63" s="189">
        <f t="shared" si="14"/>
        <v>95.22535170724314</v>
      </c>
      <c r="AC63" s="209">
        <f t="shared" si="15"/>
        <v>1.7548958935809445E-15</v>
      </c>
    </row>
    <row r="64" spans="20:29" ht="15.75">
      <c r="T64" s="134">
        <v>20</v>
      </c>
      <c r="U64" s="208">
        <f t="shared" si="7"/>
        <v>20</v>
      </c>
      <c r="V64" s="188">
        <f t="shared" si="8"/>
        <v>20.098593171027442</v>
      </c>
      <c r="W64" s="188">
        <f t="shared" si="9"/>
        <v>1.5707963267948966</v>
      </c>
      <c r="X64" s="188">
        <f t="shared" si="10"/>
        <v>1.2311880184660605E-15</v>
      </c>
      <c r="Y64" s="188">
        <f t="shared" si="11"/>
        <v>20.098593171027442</v>
      </c>
      <c r="Z64" s="206">
        <f t="shared" si="12"/>
        <v>20</v>
      </c>
      <c r="AA64" s="189">
        <f t="shared" si="13"/>
        <v>5.7746482927568605</v>
      </c>
      <c r="AB64" s="189">
        <f t="shared" si="14"/>
        <v>94.50798311186091</v>
      </c>
      <c r="AC64" s="209">
        <f t="shared" si="15"/>
        <v>-1.7844644590001444</v>
      </c>
    </row>
    <row r="65" spans="20:29" ht="15.75">
      <c r="T65" s="134">
        <v>21</v>
      </c>
      <c r="U65" s="208">
        <f t="shared" si="7"/>
        <v>21</v>
      </c>
      <c r="V65" s="188">
        <f t="shared" si="8"/>
        <v>19.098593171027442</v>
      </c>
      <c r="W65" s="188">
        <f t="shared" si="9"/>
        <v>1.6493361431346414</v>
      </c>
      <c r="X65" s="188">
        <f t="shared" si="10"/>
        <v>-1.4984583498728066</v>
      </c>
      <c r="Y65" s="188">
        <f t="shared" si="11"/>
        <v>19.039718582114403</v>
      </c>
      <c r="Z65" s="206">
        <f t="shared" si="12"/>
        <v>20</v>
      </c>
      <c r="AA65" s="189">
        <f t="shared" si="13"/>
        <v>5.7746482927568605</v>
      </c>
      <c r="AB65" s="189">
        <f t="shared" si="14"/>
        <v>94.50798311186091</v>
      </c>
      <c r="AC65" s="209">
        <f t="shared" si="15"/>
        <v>-1.7844644590001444</v>
      </c>
    </row>
    <row r="66" spans="20:29" ht="15.75">
      <c r="T66" s="134">
        <v>22</v>
      </c>
      <c r="U66" s="208">
        <f t="shared" si="7"/>
        <v>22</v>
      </c>
      <c r="V66" s="188">
        <f t="shared" si="8"/>
        <v>20.098593171027442</v>
      </c>
      <c r="W66" s="188">
        <f t="shared" si="9"/>
        <v>1.7278759594743862</v>
      </c>
      <c r="X66" s="188">
        <f t="shared" si="10"/>
        <v>-3.144112670770914</v>
      </c>
      <c r="Y66" s="188">
        <f t="shared" si="11"/>
        <v>19.851146137388863</v>
      </c>
      <c r="Z66" s="206">
        <f t="shared" si="12"/>
        <v>20</v>
      </c>
      <c r="AA66" s="189">
        <f t="shared" si="13"/>
        <v>5.7746482927568605</v>
      </c>
      <c r="AB66" s="189">
        <f t="shared" si="14"/>
        <v>94.50798311186091</v>
      </c>
      <c r="AC66" s="209">
        <f t="shared" si="15"/>
        <v>-1.7844644590001444</v>
      </c>
    </row>
    <row r="67" spans="20:29" ht="15.75">
      <c r="T67" s="134">
        <v>23</v>
      </c>
      <c r="U67" s="208">
        <f t="shared" si="7"/>
        <v>23</v>
      </c>
      <c r="V67" s="188">
        <f t="shared" si="8"/>
        <v>19.098593171027442</v>
      </c>
      <c r="W67" s="188">
        <f t="shared" si="9"/>
        <v>1.806415775814131</v>
      </c>
      <c r="X67" s="188">
        <f t="shared" si="10"/>
        <v>-4.45847803194641</v>
      </c>
      <c r="Y67" s="188">
        <f t="shared" si="11"/>
        <v>18.570897521419564</v>
      </c>
      <c r="Z67" s="206">
        <f t="shared" si="12"/>
        <v>20</v>
      </c>
      <c r="AA67" s="189">
        <f t="shared" si="13"/>
        <v>5.7746482927568605</v>
      </c>
      <c r="AB67" s="189">
        <f t="shared" si="14"/>
        <v>94.50798311186091</v>
      </c>
      <c r="AC67" s="209">
        <f t="shared" si="15"/>
        <v>-1.7844644590001444</v>
      </c>
    </row>
    <row r="68" spans="20:29" ht="15.75">
      <c r="T68" s="134">
        <v>24</v>
      </c>
      <c r="U68" s="208">
        <f t="shared" si="7"/>
        <v>24</v>
      </c>
      <c r="V68" s="188">
        <f t="shared" si="8"/>
        <v>20.098593171027442</v>
      </c>
      <c r="W68" s="188">
        <f t="shared" si="9"/>
        <v>1.8849555921538759</v>
      </c>
      <c r="X68" s="188">
        <f t="shared" si="10"/>
        <v>-6.210806852875742</v>
      </c>
      <c r="Y68" s="188">
        <f t="shared" si="11"/>
        <v>19.114898003670923</v>
      </c>
      <c r="Z68" s="206">
        <f t="shared" si="12"/>
        <v>20</v>
      </c>
      <c r="AA68" s="189">
        <f t="shared" si="13"/>
        <v>5.7746482927568605</v>
      </c>
      <c r="AB68" s="189">
        <f t="shared" si="14"/>
        <v>94.50798311186091</v>
      </c>
      <c r="AC68" s="209">
        <f t="shared" si="15"/>
        <v>-1.7844644590001444</v>
      </c>
    </row>
    <row r="69" spans="20:29" ht="15.75">
      <c r="T69" s="134">
        <v>25</v>
      </c>
      <c r="U69" s="208">
        <f t="shared" si="7"/>
        <v>25</v>
      </c>
      <c r="V69" s="188">
        <f t="shared" si="8"/>
        <v>19.098593171027442</v>
      </c>
      <c r="W69" s="188">
        <f t="shared" si="9"/>
        <v>1.9634954084936207</v>
      </c>
      <c r="X69" s="188">
        <f t="shared" si="10"/>
        <v>-7.308715188033244</v>
      </c>
      <c r="Y69" s="188">
        <f t="shared" si="11"/>
        <v>17.644799330472086</v>
      </c>
      <c r="Z69" s="206">
        <f t="shared" si="12"/>
        <v>20</v>
      </c>
      <c r="AA69" s="189">
        <f t="shared" si="13"/>
        <v>5.7746482927568605</v>
      </c>
      <c r="AB69" s="189">
        <f t="shared" si="14"/>
        <v>94.50798311186091</v>
      </c>
      <c r="AC69" s="209">
        <f t="shared" si="15"/>
        <v>-1.7844644590001444</v>
      </c>
    </row>
    <row r="70" spans="20:29" ht="15.75">
      <c r="T70" s="134">
        <v>26</v>
      </c>
      <c r="U70" s="208">
        <f t="shared" si="7"/>
        <v>26</v>
      </c>
      <c r="V70" s="188">
        <f t="shared" si="8"/>
        <v>20.098593171027442</v>
      </c>
      <c r="W70" s="188">
        <f t="shared" si="9"/>
        <v>2.0420352248333655</v>
      </c>
      <c r="X70" s="188">
        <f t="shared" si="10"/>
        <v>-9.124570357776589</v>
      </c>
      <c r="Y70" s="188">
        <f t="shared" si="11"/>
        <v>17.907977642393227</v>
      </c>
      <c r="Z70" s="206">
        <f t="shared" si="12"/>
        <v>20</v>
      </c>
      <c r="AA70" s="189">
        <f t="shared" si="13"/>
        <v>5.7746482927568605</v>
      </c>
      <c r="AB70" s="189">
        <f t="shared" si="14"/>
        <v>94.50798311186091</v>
      </c>
      <c r="AC70" s="209">
        <f t="shared" si="15"/>
        <v>-1.7844644590001444</v>
      </c>
    </row>
    <row r="71" spans="20:29" ht="15.75">
      <c r="T71" s="134">
        <v>27</v>
      </c>
      <c r="U71" s="208">
        <f t="shared" si="7"/>
        <v>27</v>
      </c>
      <c r="V71" s="188">
        <f t="shared" si="8"/>
        <v>19.098593171027442</v>
      </c>
      <c r="W71" s="188">
        <f t="shared" si="9"/>
        <v>2.1205750411731104</v>
      </c>
      <c r="X71" s="188">
        <f t="shared" si="10"/>
        <v>-9.978987519955659</v>
      </c>
      <c r="Y71" s="188">
        <f t="shared" si="11"/>
        <v>16.284227620276784</v>
      </c>
      <c r="Z71" s="206">
        <f t="shared" si="12"/>
        <v>20</v>
      </c>
      <c r="AA71" s="189">
        <f t="shared" si="13"/>
        <v>5.7746482927568605</v>
      </c>
      <c r="AB71" s="189">
        <f t="shared" si="14"/>
        <v>94.50798311186091</v>
      </c>
      <c r="AC71" s="209">
        <f t="shared" si="15"/>
        <v>-1.7844644590001444</v>
      </c>
    </row>
    <row r="72" spans="20:29" ht="15.75">
      <c r="T72" s="134">
        <v>28</v>
      </c>
      <c r="U72" s="208">
        <f t="shared" si="7"/>
        <v>28</v>
      </c>
      <c r="V72" s="188">
        <f t="shared" si="8"/>
        <v>20.098593171027442</v>
      </c>
      <c r="W72" s="188">
        <f t="shared" si="9"/>
        <v>2.199114857512855</v>
      </c>
      <c r="X72" s="188">
        <f t="shared" si="10"/>
        <v>-11.813656657756141</v>
      </c>
      <c r="Y72" s="188">
        <f t="shared" si="11"/>
        <v>16.260103438389464</v>
      </c>
      <c r="Z72" s="206">
        <f t="shared" si="12"/>
        <v>20</v>
      </c>
      <c r="AA72" s="189">
        <f t="shared" si="13"/>
        <v>5.7746482927568605</v>
      </c>
      <c r="AB72" s="189">
        <f t="shared" si="14"/>
        <v>94.50798311186091</v>
      </c>
      <c r="AC72" s="209">
        <f t="shared" si="15"/>
        <v>-1.7844644590001444</v>
      </c>
    </row>
    <row r="73" spans="20:29" ht="15.75">
      <c r="T73" s="134">
        <v>29</v>
      </c>
      <c r="U73" s="208">
        <f t="shared" si="7"/>
        <v>29</v>
      </c>
      <c r="V73" s="188">
        <f t="shared" si="8"/>
        <v>19.098593171027442</v>
      </c>
      <c r="W73" s="188">
        <f t="shared" si="9"/>
        <v>2.2776546738526</v>
      </c>
      <c r="X73" s="188">
        <f t="shared" si="10"/>
        <v>-12.403544060775944</v>
      </c>
      <c r="Y73" s="188">
        <f t="shared" si="11"/>
        <v>14.522684181817281</v>
      </c>
      <c r="Z73" s="206">
        <f t="shared" si="12"/>
        <v>20</v>
      </c>
      <c r="AA73" s="189">
        <f t="shared" si="13"/>
        <v>5.7746482927568605</v>
      </c>
      <c r="AB73" s="189">
        <f t="shared" si="14"/>
        <v>94.50798311186091</v>
      </c>
      <c r="AC73" s="209">
        <f t="shared" si="15"/>
        <v>-1.7844644590001444</v>
      </c>
    </row>
    <row r="74" spans="20:29" ht="15.75">
      <c r="T74" s="134">
        <v>30</v>
      </c>
      <c r="U74" s="208">
        <f t="shared" si="7"/>
        <v>30</v>
      </c>
      <c r="V74" s="188">
        <f t="shared" si="8"/>
        <v>20.098593171027442</v>
      </c>
      <c r="W74" s="188">
        <f t="shared" si="9"/>
        <v>2.356194490192345</v>
      </c>
      <c r="X74" s="188">
        <f t="shared" si="10"/>
        <v>-14.211851523543139</v>
      </c>
      <c r="Y74" s="188">
        <f t="shared" si="11"/>
        <v>14.21185152354314</v>
      </c>
      <c r="Z74" s="206">
        <f t="shared" si="12"/>
        <v>20</v>
      </c>
      <c r="AA74" s="189">
        <f t="shared" si="13"/>
        <v>5.7746482927568605</v>
      </c>
      <c r="AB74" s="189">
        <f t="shared" si="14"/>
        <v>94.50798311186091</v>
      </c>
      <c r="AC74" s="209">
        <f t="shared" si="15"/>
        <v>-1.7844644590001444</v>
      </c>
    </row>
    <row r="75" spans="20:29" ht="15.75">
      <c r="T75" s="134">
        <v>31</v>
      </c>
      <c r="U75" s="208">
        <f t="shared" si="7"/>
        <v>31</v>
      </c>
      <c r="V75" s="188">
        <f t="shared" si="8"/>
        <v>19.098593171027442</v>
      </c>
      <c r="W75" s="188">
        <f t="shared" si="9"/>
        <v>2.4347343065320897</v>
      </c>
      <c r="X75" s="188">
        <f t="shared" si="10"/>
        <v>-14.52268418181728</v>
      </c>
      <c r="Y75" s="188">
        <f t="shared" si="11"/>
        <v>12.403544060775948</v>
      </c>
      <c r="Z75" s="206">
        <f t="shared" si="12"/>
        <v>20</v>
      </c>
      <c r="AA75" s="189">
        <f t="shared" si="13"/>
        <v>5.7746482927568605</v>
      </c>
      <c r="AB75" s="189">
        <f t="shared" si="14"/>
        <v>94.50798311186091</v>
      </c>
      <c r="AC75" s="209">
        <f t="shared" si="15"/>
        <v>-1.7844644590001444</v>
      </c>
    </row>
    <row r="76" spans="20:29" ht="15.75">
      <c r="T76" s="134">
        <v>32</v>
      </c>
      <c r="U76" s="208">
        <f aca="true" t="shared" si="16" ref="U76:U107">MIN(T76,2*$V$30)</f>
        <v>32</v>
      </c>
      <c r="V76" s="188">
        <f aca="true" t="shared" si="17" ref="V76:V107">IF(U76/2=ROUND(U76/2,0),$V$33+$V$40,$V$33)</f>
        <v>20.098593171027442</v>
      </c>
      <c r="W76" s="188">
        <f aca="true" t="shared" si="18" ref="W76:W107">U76*$V$42</f>
        <v>2.5132741228718345</v>
      </c>
      <c r="X76" s="188">
        <f aca="true" t="shared" si="19" ref="X76:X107">V76*COS(W76+2*PI()*$V$35*$U$3)+$U$38</f>
        <v>-16.260103438389464</v>
      </c>
      <c r="Y76" s="188">
        <f aca="true" t="shared" si="20" ref="Y76:Y107">V76*SIN(W76+2*PI()*$V$35*$U$3)+$V$38</f>
        <v>11.813656657756145</v>
      </c>
      <c r="Z76" s="206">
        <f aca="true" t="shared" si="21" ref="Z76:Z107">MIN(T76,2*$AA$30)</f>
        <v>20</v>
      </c>
      <c r="AA76" s="189">
        <f aca="true" t="shared" si="22" ref="AA76:AA107">IF(Z76/2=ROUND(Z76/2,0),$AA$33+$AA$40,$AA$33)</f>
        <v>5.7746482927568605</v>
      </c>
      <c r="AB76" s="189">
        <f aca="true" t="shared" si="23" ref="AB76:AB107">AA76*COS(Z76*$AA$42+2*PI()*$AA$35*$U$3+$AA$42+PI())+$Z$38</f>
        <v>94.50798311186091</v>
      </c>
      <c r="AC76" s="209">
        <f aca="true" t="shared" si="24" ref="AC76:AC107">AA76*SIN(Z76*$AA$42+2*PI()*$AA$35*$U$3+$AA$42+PI())+$AA$38</f>
        <v>-1.7844644590001444</v>
      </c>
    </row>
    <row r="77" spans="20:29" ht="15.75">
      <c r="T77" s="134">
        <v>33</v>
      </c>
      <c r="U77" s="208">
        <f t="shared" si="16"/>
        <v>33</v>
      </c>
      <c r="V77" s="188">
        <f t="shared" si="17"/>
        <v>19.098593171027442</v>
      </c>
      <c r="W77" s="188">
        <f t="shared" si="18"/>
        <v>2.5918139392115793</v>
      </c>
      <c r="X77" s="188">
        <f t="shared" si="19"/>
        <v>-16.28422762027678</v>
      </c>
      <c r="Y77" s="188">
        <f t="shared" si="20"/>
        <v>9.978987519955663</v>
      </c>
      <c r="Z77" s="206">
        <f t="shared" si="21"/>
        <v>20</v>
      </c>
      <c r="AA77" s="189">
        <f t="shared" si="22"/>
        <v>5.7746482927568605</v>
      </c>
      <c r="AB77" s="189">
        <f t="shared" si="23"/>
        <v>94.50798311186091</v>
      </c>
      <c r="AC77" s="209">
        <f t="shared" si="24"/>
        <v>-1.7844644590001444</v>
      </c>
    </row>
    <row r="78" spans="20:29" ht="15.75">
      <c r="T78" s="134">
        <v>34</v>
      </c>
      <c r="U78" s="208">
        <f t="shared" si="16"/>
        <v>34</v>
      </c>
      <c r="V78" s="188">
        <f t="shared" si="17"/>
        <v>20.098593171027442</v>
      </c>
      <c r="W78" s="188">
        <f t="shared" si="18"/>
        <v>2.670353755551324</v>
      </c>
      <c r="X78" s="188">
        <f t="shared" si="19"/>
        <v>-17.907977642393227</v>
      </c>
      <c r="Y78" s="188">
        <f t="shared" si="20"/>
        <v>9.124570357776593</v>
      </c>
      <c r="Z78" s="206">
        <f t="shared" si="21"/>
        <v>20</v>
      </c>
      <c r="AA78" s="189">
        <f t="shared" si="22"/>
        <v>5.7746482927568605</v>
      </c>
      <c r="AB78" s="189">
        <f t="shared" si="23"/>
        <v>94.50798311186091</v>
      </c>
      <c r="AC78" s="209">
        <f t="shared" si="24"/>
        <v>-1.7844644590001444</v>
      </c>
    </row>
    <row r="79" spans="20:29" ht="15.75">
      <c r="T79" s="134">
        <v>35</v>
      </c>
      <c r="U79" s="208">
        <f t="shared" si="16"/>
        <v>35</v>
      </c>
      <c r="V79" s="188">
        <f t="shared" si="17"/>
        <v>19.098593171027442</v>
      </c>
      <c r="W79" s="188">
        <f t="shared" si="18"/>
        <v>2.748893571891069</v>
      </c>
      <c r="X79" s="188">
        <f t="shared" si="19"/>
        <v>-17.644799330472086</v>
      </c>
      <c r="Y79" s="188">
        <f t="shared" si="20"/>
        <v>7.308715188033248</v>
      </c>
      <c r="Z79" s="206">
        <f t="shared" si="21"/>
        <v>20</v>
      </c>
      <c r="AA79" s="189">
        <f t="shared" si="22"/>
        <v>5.7746482927568605</v>
      </c>
      <c r="AB79" s="189">
        <f t="shared" si="23"/>
        <v>94.50798311186091</v>
      </c>
      <c r="AC79" s="209">
        <f t="shared" si="24"/>
        <v>-1.7844644590001444</v>
      </c>
    </row>
    <row r="80" spans="20:29" ht="15.75">
      <c r="T80" s="134">
        <v>36</v>
      </c>
      <c r="U80" s="208">
        <f t="shared" si="16"/>
        <v>36</v>
      </c>
      <c r="V80" s="188">
        <f t="shared" si="17"/>
        <v>20.098593171027442</v>
      </c>
      <c r="W80" s="188">
        <f t="shared" si="18"/>
        <v>2.827433388230814</v>
      </c>
      <c r="X80" s="188">
        <f t="shared" si="19"/>
        <v>-19.114898003670923</v>
      </c>
      <c r="Y80" s="188">
        <f t="shared" si="20"/>
        <v>6.210806852875746</v>
      </c>
      <c r="Z80" s="206">
        <f t="shared" si="21"/>
        <v>20</v>
      </c>
      <c r="AA80" s="189">
        <f t="shared" si="22"/>
        <v>5.7746482927568605</v>
      </c>
      <c r="AB80" s="189">
        <f t="shared" si="23"/>
        <v>94.50798311186091</v>
      </c>
      <c r="AC80" s="209">
        <f t="shared" si="24"/>
        <v>-1.7844644590001444</v>
      </c>
    </row>
    <row r="81" spans="20:29" ht="15.75">
      <c r="T81" s="134">
        <v>37</v>
      </c>
      <c r="U81" s="208">
        <f t="shared" si="16"/>
        <v>37</v>
      </c>
      <c r="V81" s="188">
        <f t="shared" si="17"/>
        <v>19.098593171027442</v>
      </c>
      <c r="W81" s="188">
        <f t="shared" si="18"/>
        <v>2.9059732045705586</v>
      </c>
      <c r="X81" s="188">
        <f t="shared" si="19"/>
        <v>-18.570897521419564</v>
      </c>
      <c r="Y81" s="188">
        <f t="shared" si="20"/>
        <v>4.458478031946414</v>
      </c>
      <c r="Z81" s="206">
        <f t="shared" si="21"/>
        <v>20</v>
      </c>
      <c r="AA81" s="189">
        <f t="shared" si="22"/>
        <v>5.7746482927568605</v>
      </c>
      <c r="AB81" s="189">
        <f t="shared" si="23"/>
        <v>94.50798311186091</v>
      </c>
      <c r="AC81" s="209">
        <f t="shared" si="24"/>
        <v>-1.7844644590001444</v>
      </c>
    </row>
    <row r="82" spans="20:29" ht="15.75">
      <c r="T82" s="134">
        <v>38</v>
      </c>
      <c r="U82" s="208">
        <f t="shared" si="16"/>
        <v>38</v>
      </c>
      <c r="V82" s="188">
        <f t="shared" si="17"/>
        <v>20.098593171027442</v>
      </c>
      <c r="W82" s="188">
        <f t="shared" si="18"/>
        <v>2.9845130209103035</v>
      </c>
      <c r="X82" s="188">
        <f t="shared" si="19"/>
        <v>-19.85114613738886</v>
      </c>
      <c r="Y82" s="188">
        <f t="shared" si="20"/>
        <v>3.1441126707709177</v>
      </c>
      <c r="Z82" s="206">
        <f t="shared" si="21"/>
        <v>20</v>
      </c>
      <c r="AA82" s="189">
        <f t="shared" si="22"/>
        <v>5.7746482927568605</v>
      </c>
      <c r="AB82" s="189">
        <f t="shared" si="23"/>
        <v>94.50798311186091</v>
      </c>
      <c r="AC82" s="209">
        <f t="shared" si="24"/>
        <v>-1.7844644590001444</v>
      </c>
    </row>
    <row r="83" spans="20:29" ht="15.75">
      <c r="T83" s="134">
        <v>39</v>
      </c>
      <c r="U83" s="208">
        <f t="shared" si="16"/>
        <v>39</v>
      </c>
      <c r="V83" s="188">
        <f t="shared" si="17"/>
        <v>19.098593171027442</v>
      </c>
      <c r="W83" s="188">
        <f t="shared" si="18"/>
        <v>3.0630528372500483</v>
      </c>
      <c r="X83" s="188">
        <f t="shared" si="19"/>
        <v>-19.039718582114403</v>
      </c>
      <c r="Y83" s="188">
        <f t="shared" si="20"/>
        <v>1.4984583498728101</v>
      </c>
      <c r="Z83" s="206">
        <f t="shared" si="21"/>
        <v>20</v>
      </c>
      <c r="AA83" s="189">
        <f t="shared" si="22"/>
        <v>5.7746482927568605</v>
      </c>
      <c r="AB83" s="189">
        <f t="shared" si="23"/>
        <v>94.50798311186091</v>
      </c>
      <c r="AC83" s="209">
        <f t="shared" si="24"/>
        <v>-1.7844644590001444</v>
      </c>
    </row>
    <row r="84" spans="20:29" ht="15.75">
      <c r="T84" s="134">
        <v>40</v>
      </c>
      <c r="U84" s="208">
        <f t="shared" si="16"/>
        <v>40</v>
      </c>
      <c r="V84" s="188">
        <f t="shared" si="17"/>
        <v>20.098593171027442</v>
      </c>
      <c r="W84" s="188">
        <f t="shared" si="18"/>
        <v>3.141592653589793</v>
      </c>
      <c r="X84" s="188">
        <f t="shared" si="19"/>
        <v>-20.098593171027442</v>
      </c>
      <c r="Y84" s="188">
        <f t="shared" si="20"/>
        <v>2.462376036932121E-15</v>
      </c>
      <c r="Z84" s="206">
        <f t="shared" si="21"/>
        <v>20</v>
      </c>
      <c r="AA84" s="189">
        <f t="shared" si="22"/>
        <v>5.7746482927568605</v>
      </c>
      <c r="AB84" s="189">
        <f t="shared" si="23"/>
        <v>94.50798311186091</v>
      </c>
      <c r="AC84" s="209">
        <f t="shared" si="24"/>
        <v>-1.7844644590001444</v>
      </c>
    </row>
    <row r="85" spans="20:29" ht="15.75">
      <c r="T85" s="134">
        <v>41</v>
      </c>
      <c r="U85" s="208">
        <f t="shared" si="16"/>
        <v>41</v>
      </c>
      <c r="V85" s="188">
        <f t="shared" si="17"/>
        <v>19.098593171027442</v>
      </c>
      <c r="W85" s="188">
        <f t="shared" si="18"/>
        <v>3.220132469929538</v>
      </c>
      <c r="X85" s="188">
        <f t="shared" si="19"/>
        <v>-19.039718582114403</v>
      </c>
      <c r="Y85" s="188">
        <f t="shared" si="20"/>
        <v>-1.4984583498728055</v>
      </c>
      <c r="Z85" s="206">
        <f t="shared" si="21"/>
        <v>20</v>
      </c>
      <c r="AA85" s="189">
        <f t="shared" si="22"/>
        <v>5.7746482927568605</v>
      </c>
      <c r="AB85" s="189">
        <f t="shared" si="23"/>
        <v>94.50798311186091</v>
      </c>
      <c r="AC85" s="209">
        <f t="shared" si="24"/>
        <v>-1.7844644590001444</v>
      </c>
    </row>
    <row r="86" spans="20:29" ht="15.75">
      <c r="T86" s="134">
        <v>42</v>
      </c>
      <c r="U86" s="208">
        <f t="shared" si="16"/>
        <v>42</v>
      </c>
      <c r="V86" s="188">
        <f t="shared" si="17"/>
        <v>20.098593171027442</v>
      </c>
      <c r="W86" s="188">
        <f t="shared" si="18"/>
        <v>3.2986722862692828</v>
      </c>
      <c r="X86" s="188">
        <f t="shared" si="19"/>
        <v>-19.851146137388863</v>
      </c>
      <c r="Y86" s="188">
        <f t="shared" si="20"/>
        <v>-3.1441126707709124</v>
      </c>
      <c r="Z86" s="206">
        <f t="shared" si="21"/>
        <v>20</v>
      </c>
      <c r="AA86" s="189">
        <f t="shared" si="22"/>
        <v>5.7746482927568605</v>
      </c>
      <c r="AB86" s="189">
        <f t="shared" si="23"/>
        <v>94.50798311186091</v>
      </c>
      <c r="AC86" s="209">
        <f t="shared" si="24"/>
        <v>-1.7844644590001444</v>
      </c>
    </row>
    <row r="87" spans="20:29" ht="15.75">
      <c r="T87" s="134">
        <v>43</v>
      </c>
      <c r="U87" s="208">
        <f t="shared" si="16"/>
        <v>43</v>
      </c>
      <c r="V87" s="188">
        <f t="shared" si="17"/>
        <v>19.098593171027442</v>
      </c>
      <c r="W87" s="188">
        <f t="shared" si="18"/>
        <v>3.3772121026090276</v>
      </c>
      <c r="X87" s="188">
        <f t="shared" si="19"/>
        <v>-18.570897521419564</v>
      </c>
      <c r="Y87" s="188">
        <f t="shared" si="20"/>
        <v>-4.4584780319464095</v>
      </c>
      <c r="Z87" s="206">
        <f t="shared" si="21"/>
        <v>20</v>
      </c>
      <c r="AA87" s="189">
        <f t="shared" si="22"/>
        <v>5.7746482927568605</v>
      </c>
      <c r="AB87" s="189">
        <f t="shared" si="23"/>
        <v>94.50798311186091</v>
      </c>
      <c r="AC87" s="209">
        <f t="shared" si="24"/>
        <v>-1.7844644590001444</v>
      </c>
    </row>
    <row r="88" spans="20:29" ht="15.75">
      <c r="T88" s="134">
        <v>44</v>
      </c>
      <c r="U88" s="208">
        <f t="shared" si="16"/>
        <v>44</v>
      </c>
      <c r="V88" s="188">
        <f t="shared" si="17"/>
        <v>20.098593171027442</v>
      </c>
      <c r="W88" s="188">
        <f t="shared" si="18"/>
        <v>3.4557519189487724</v>
      </c>
      <c r="X88" s="188">
        <f t="shared" si="19"/>
        <v>-19.114898003670923</v>
      </c>
      <c r="Y88" s="188">
        <f t="shared" si="20"/>
        <v>-6.210806852875741</v>
      </c>
      <c r="Z88" s="206">
        <f t="shared" si="21"/>
        <v>20</v>
      </c>
      <c r="AA88" s="189">
        <f t="shared" si="22"/>
        <v>5.7746482927568605</v>
      </c>
      <c r="AB88" s="189">
        <f t="shared" si="23"/>
        <v>94.50798311186091</v>
      </c>
      <c r="AC88" s="209">
        <f t="shared" si="24"/>
        <v>-1.7844644590001444</v>
      </c>
    </row>
    <row r="89" spans="20:29" ht="15.75">
      <c r="T89" s="134">
        <v>45</v>
      </c>
      <c r="U89" s="208">
        <f t="shared" si="16"/>
        <v>45</v>
      </c>
      <c r="V89" s="188">
        <f t="shared" si="17"/>
        <v>19.098593171027442</v>
      </c>
      <c r="W89" s="188">
        <f t="shared" si="18"/>
        <v>3.5342917352885173</v>
      </c>
      <c r="X89" s="188">
        <f t="shared" si="19"/>
        <v>-17.64479933047209</v>
      </c>
      <c r="Y89" s="188">
        <f t="shared" si="20"/>
        <v>-7.3087151880332435</v>
      </c>
      <c r="Z89" s="206">
        <f t="shared" si="21"/>
        <v>20</v>
      </c>
      <c r="AA89" s="189">
        <f t="shared" si="22"/>
        <v>5.7746482927568605</v>
      </c>
      <c r="AB89" s="189">
        <f t="shared" si="23"/>
        <v>94.50798311186091</v>
      </c>
      <c r="AC89" s="209">
        <f t="shared" si="24"/>
        <v>-1.7844644590001444</v>
      </c>
    </row>
    <row r="90" spans="20:29" ht="15.75">
      <c r="T90" s="134">
        <v>46</v>
      </c>
      <c r="U90" s="208">
        <f t="shared" si="16"/>
        <v>46</v>
      </c>
      <c r="V90" s="188">
        <f t="shared" si="17"/>
        <v>20.098593171027442</v>
      </c>
      <c r="W90" s="188">
        <f t="shared" si="18"/>
        <v>3.612831551628262</v>
      </c>
      <c r="X90" s="188">
        <f t="shared" si="19"/>
        <v>-17.907977642393227</v>
      </c>
      <c r="Y90" s="188">
        <f t="shared" si="20"/>
        <v>-9.124570357776589</v>
      </c>
      <c r="Z90" s="206">
        <f t="shared" si="21"/>
        <v>20</v>
      </c>
      <c r="AA90" s="189">
        <f t="shared" si="22"/>
        <v>5.7746482927568605</v>
      </c>
      <c r="AB90" s="189">
        <f t="shared" si="23"/>
        <v>94.50798311186091</v>
      </c>
      <c r="AC90" s="209">
        <f t="shared" si="24"/>
        <v>-1.7844644590001444</v>
      </c>
    </row>
    <row r="91" spans="20:29" ht="15.75">
      <c r="T91" s="134">
        <v>47</v>
      </c>
      <c r="U91" s="208">
        <f t="shared" si="16"/>
        <v>47</v>
      </c>
      <c r="V91" s="188">
        <f t="shared" si="17"/>
        <v>19.098593171027442</v>
      </c>
      <c r="W91" s="188">
        <f t="shared" si="18"/>
        <v>3.691371367968007</v>
      </c>
      <c r="X91" s="188">
        <f t="shared" si="19"/>
        <v>-16.284227620276784</v>
      </c>
      <c r="Y91" s="188">
        <f t="shared" si="20"/>
        <v>-9.978987519955657</v>
      </c>
      <c r="Z91" s="206">
        <f t="shared" si="21"/>
        <v>20</v>
      </c>
      <c r="AA91" s="189">
        <f t="shared" si="22"/>
        <v>5.7746482927568605</v>
      </c>
      <c r="AB91" s="189">
        <f t="shared" si="23"/>
        <v>94.50798311186091</v>
      </c>
      <c r="AC91" s="209">
        <f t="shared" si="24"/>
        <v>-1.7844644590001444</v>
      </c>
    </row>
    <row r="92" spans="20:29" ht="15.75">
      <c r="T92" s="134">
        <v>48</v>
      </c>
      <c r="U92" s="208">
        <f t="shared" si="16"/>
        <v>48</v>
      </c>
      <c r="V92" s="188">
        <f t="shared" si="17"/>
        <v>20.098593171027442</v>
      </c>
      <c r="W92" s="188">
        <f t="shared" si="18"/>
        <v>3.7699111843077517</v>
      </c>
      <c r="X92" s="188">
        <f t="shared" si="19"/>
        <v>-16.260103438389468</v>
      </c>
      <c r="Y92" s="188">
        <f t="shared" si="20"/>
        <v>-11.813656657756141</v>
      </c>
      <c r="Z92" s="206">
        <f t="shared" si="21"/>
        <v>20</v>
      </c>
      <c r="AA92" s="189">
        <f t="shared" si="22"/>
        <v>5.7746482927568605</v>
      </c>
      <c r="AB92" s="189">
        <f t="shared" si="23"/>
        <v>94.50798311186091</v>
      </c>
      <c r="AC92" s="209">
        <f t="shared" si="24"/>
        <v>-1.7844644590001444</v>
      </c>
    </row>
    <row r="93" spans="20:29" ht="15.75">
      <c r="T93" s="134">
        <v>49</v>
      </c>
      <c r="U93" s="208">
        <f t="shared" si="16"/>
        <v>49</v>
      </c>
      <c r="V93" s="188">
        <f t="shared" si="17"/>
        <v>19.098593171027442</v>
      </c>
      <c r="W93" s="188">
        <f t="shared" si="18"/>
        <v>3.8484510006474966</v>
      </c>
      <c r="X93" s="188">
        <f t="shared" si="19"/>
        <v>-14.522684181817281</v>
      </c>
      <c r="Y93" s="188">
        <f t="shared" si="20"/>
        <v>-12.403544060775944</v>
      </c>
      <c r="Z93" s="206">
        <f t="shared" si="21"/>
        <v>20</v>
      </c>
      <c r="AA93" s="189">
        <f t="shared" si="22"/>
        <v>5.7746482927568605</v>
      </c>
      <c r="AB93" s="189">
        <f t="shared" si="23"/>
        <v>94.50798311186091</v>
      </c>
      <c r="AC93" s="209">
        <f t="shared" si="24"/>
        <v>-1.7844644590001444</v>
      </c>
    </row>
    <row r="94" spans="20:29" ht="15.75">
      <c r="T94" s="134">
        <v>50</v>
      </c>
      <c r="U94" s="208">
        <f t="shared" si="16"/>
        <v>50</v>
      </c>
      <c r="V94" s="188">
        <f t="shared" si="17"/>
        <v>20.098593171027442</v>
      </c>
      <c r="W94" s="188">
        <f t="shared" si="18"/>
        <v>3.9269908169872414</v>
      </c>
      <c r="X94" s="188">
        <f t="shared" si="19"/>
        <v>-14.211851523543142</v>
      </c>
      <c r="Y94" s="188">
        <f t="shared" si="20"/>
        <v>-14.211851523543139</v>
      </c>
      <c r="Z94" s="206">
        <f t="shared" si="21"/>
        <v>20</v>
      </c>
      <c r="AA94" s="189">
        <f t="shared" si="22"/>
        <v>5.7746482927568605</v>
      </c>
      <c r="AB94" s="189">
        <f t="shared" si="23"/>
        <v>94.50798311186091</v>
      </c>
      <c r="AC94" s="209">
        <f t="shared" si="24"/>
        <v>-1.7844644590001444</v>
      </c>
    </row>
    <row r="95" spans="20:29" ht="15.75">
      <c r="T95" s="134">
        <v>51</v>
      </c>
      <c r="U95" s="208">
        <f t="shared" si="16"/>
        <v>51</v>
      </c>
      <c r="V95" s="188">
        <f t="shared" si="17"/>
        <v>19.098593171027442</v>
      </c>
      <c r="W95" s="188">
        <f t="shared" si="18"/>
        <v>4.005530633326986</v>
      </c>
      <c r="X95" s="188">
        <f t="shared" si="19"/>
        <v>-12.403544060775955</v>
      </c>
      <c r="Y95" s="188">
        <f t="shared" si="20"/>
        <v>-14.522684181817272</v>
      </c>
      <c r="Z95" s="206">
        <f t="shared" si="21"/>
        <v>20</v>
      </c>
      <c r="AA95" s="189">
        <f t="shared" si="22"/>
        <v>5.7746482927568605</v>
      </c>
      <c r="AB95" s="189">
        <f t="shared" si="23"/>
        <v>94.50798311186091</v>
      </c>
      <c r="AC95" s="209">
        <f t="shared" si="24"/>
        <v>-1.7844644590001444</v>
      </c>
    </row>
    <row r="96" spans="20:29" ht="15.75">
      <c r="T96" s="134">
        <v>52</v>
      </c>
      <c r="U96" s="208">
        <f t="shared" si="16"/>
        <v>52</v>
      </c>
      <c r="V96" s="188">
        <f t="shared" si="17"/>
        <v>20.098593171027442</v>
      </c>
      <c r="W96" s="188">
        <f t="shared" si="18"/>
        <v>4.084070449666731</v>
      </c>
      <c r="X96" s="188">
        <f t="shared" si="19"/>
        <v>-11.813656657756145</v>
      </c>
      <c r="Y96" s="188">
        <f t="shared" si="20"/>
        <v>-16.260103438389464</v>
      </c>
      <c r="Z96" s="206">
        <f t="shared" si="21"/>
        <v>20</v>
      </c>
      <c r="AA96" s="189">
        <f t="shared" si="22"/>
        <v>5.7746482927568605</v>
      </c>
      <c r="AB96" s="189">
        <f t="shared" si="23"/>
        <v>94.50798311186091</v>
      </c>
      <c r="AC96" s="209">
        <f t="shared" si="24"/>
        <v>-1.7844644590001444</v>
      </c>
    </row>
    <row r="97" spans="20:29" ht="15.75">
      <c r="T97" s="134">
        <v>53</v>
      </c>
      <c r="U97" s="208">
        <f t="shared" si="16"/>
        <v>53</v>
      </c>
      <c r="V97" s="188">
        <f t="shared" si="17"/>
        <v>19.098593171027442</v>
      </c>
      <c r="W97" s="188">
        <f t="shared" si="18"/>
        <v>4.162610266006476</v>
      </c>
      <c r="X97" s="188">
        <f t="shared" si="19"/>
        <v>-9.978987519955655</v>
      </c>
      <c r="Y97" s="188">
        <f t="shared" si="20"/>
        <v>-16.284227620276784</v>
      </c>
      <c r="Z97" s="206">
        <f t="shared" si="21"/>
        <v>20</v>
      </c>
      <c r="AA97" s="189">
        <f t="shared" si="22"/>
        <v>5.7746482927568605</v>
      </c>
      <c r="AB97" s="189">
        <f t="shared" si="23"/>
        <v>94.50798311186091</v>
      </c>
      <c r="AC97" s="209">
        <f t="shared" si="24"/>
        <v>-1.7844644590001444</v>
      </c>
    </row>
    <row r="98" spans="20:29" ht="15.75">
      <c r="T98" s="134">
        <v>54</v>
      </c>
      <c r="U98" s="208">
        <f t="shared" si="16"/>
        <v>54</v>
      </c>
      <c r="V98" s="188">
        <f t="shared" si="17"/>
        <v>20.098593171027442</v>
      </c>
      <c r="W98" s="188">
        <f t="shared" si="18"/>
        <v>4.241150082346221</v>
      </c>
      <c r="X98" s="188">
        <f t="shared" si="19"/>
        <v>-9.124570357776593</v>
      </c>
      <c r="Y98" s="188">
        <f t="shared" si="20"/>
        <v>-17.907977642393227</v>
      </c>
      <c r="Z98" s="206">
        <f t="shared" si="21"/>
        <v>20</v>
      </c>
      <c r="AA98" s="189">
        <f t="shared" si="22"/>
        <v>5.7746482927568605</v>
      </c>
      <c r="AB98" s="189">
        <f t="shared" si="23"/>
        <v>94.50798311186091</v>
      </c>
      <c r="AC98" s="209">
        <f t="shared" si="24"/>
        <v>-1.7844644590001444</v>
      </c>
    </row>
    <row r="99" spans="20:29" ht="15.75">
      <c r="T99" s="134">
        <v>55</v>
      </c>
      <c r="U99" s="208">
        <f t="shared" si="16"/>
        <v>55</v>
      </c>
      <c r="V99" s="188">
        <f t="shared" si="17"/>
        <v>19.098593171027442</v>
      </c>
      <c r="W99" s="188">
        <f t="shared" si="18"/>
        <v>4.319689898685965</v>
      </c>
      <c r="X99" s="188">
        <f t="shared" si="19"/>
        <v>-7.308715188033256</v>
      </c>
      <c r="Y99" s="188">
        <f t="shared" si="20"/>
        <v>-17.644799330472082</v>
      </c>
      <c r="Z99" s="206">
        <f t="shared" si="21"/>
        <v>20</v>
      </c>
      <c r="AA99" s="189">
        <f t="shared" si="22"/>
        <v>5.7746482927568605</v>
      </c>
      <c r="AB99" s="189">
        <f t="shared" si="23"/>
        <v>94.50798311186091</v>
      </c>
      <c r="AC99" s="209">
        <f t="shared" si="24"/>
        <v>-1.7844644590001444</v>
      </c>
    </row>
    <row r="100" spans="20:29" ht="15.75">
      <c r="T100" s="134">
        <v>56</v>
      </c>
      <c r="U100" s="208">
        <f t="shared" si="16"/>
        <v>56</v>
      </c>
      <c r="V100" s="188">
        <f t="shared" si="17"/>
        <v>20.098593171027442</v>
      </c>
      <c r="W100" s="188">
        <f t="shared" si="18"/>
        <v>4.39822971502571</v>
      </c>
      <c r="X100" s="188">
        <f t="shared" si="19"/>
        <v>-6.210806852875747</v>
      </c>
      <c r="Y100" s="188">
        <f t="shared" si="20"/>
        <v>-19.114898003670923</v>
      </c>
      <c r="Z100" s="206">
        <f t="shared" si="21"/>
        <v>20</v>
      </c>
      <c r="AA100" s="189">
        <f t="shared" si="22"/>
        <v>5.7746482927568605</v>
      </c>
      <c r="AB100" s="189">
        <f t="shared" si="23"/>
        <v>94.50798311186091</v>
      </c>
      <c r="AC100" s="209">
        <f t="shared" si="24"/>
        <v>-1.7844644590001444</v>
      </c>
    </row>
    <row r="101" spans="20:29" ht="15.75">
      <c r="T101" s="134">
        <v>57</v>
      </c>
      <c r="U101" s="208">
        <f t="shared" si="16"/>
        <v>57</v>
      </c>
      <c r="V101" s="188">
        <f t="shared" si="17"/>
        <v>19.098593171027442</v>
      </c>
      <c r="W101" s="188">
        <f t="shared" si="18"/>
        <v>4.476769531365456</v>
      </c>
      <c r="X101" s="188">
        <f t="shared" si="19"/>
        <v>-4.458478031946407</v>
      </c>
      <c r="Y101" s="188">
        <f t="shared" si="20"/>
        <v>-18.570897521419564</v>
      </c>
      <c r="Z101" s="206">
        <f t="shared" si="21"/>
        <v>20</v>
      </c>
      <c r="AA101" s="189">
        <f t="shared" si="22"/>
        <v>5.7746482927568605</v>
      </c>
      <c r="AB101" s="189">
        <f t="shared" si="23"/>
        <v>94.50798311186091</v>
      </c>
      <c r="AC101" s="209">
        <f t="shared" si="24"/>
        <v>-1.7844644590001444</v>
      </c>
    </row>
    <row r="102" spans="20:29" ht="15.75">
      <c r="T102" s="134">
        <v>58</v>
      </c>
      <c r="U102" s="208">
        <f t="shared" si="16"/>
        <v>58</v>
      </c>
      <c r="V102" s="188">
        <f t="shared" si="17"/>
        <v>20.098593171027442</v>
      </c>
      <c r="W102" s="188">
        <f t="shared" si="18"/>
        <v>4.5553093477052</v>
      </c>
      <c r="X102" s="188">
        <f t="shared" si="19"/>
        <v>-3.1441126707709186</v>
      </c>
      <c r="Y102" s="188">
        <f t="shared" si="20"/>
        <v>-19.85114613738886</v>
      </c>
      <c r="Z102" s="206">
        <f t="shared" si="21"/>
        <v>20</v>
      </c>
      <c r="AA102" s="189">
        <f t="shared" si="22"/>
        <v>5.7746482927568605</v>
      </c>
      <c r="AB102" s="189">
        <f t="shared" si="23"/>
        <v>94.50798311186091</v>
      </c>
      <c r="AC102" s="209">
        <f t="shared" si="24"/>
        <v>-1.7844644590001444</v>
      </c>
    </row>
    <row r="103" spans="20:29" ht="15.75">
      <c r="T103" s="134">
        <v>59</v>
      </c>
      <c r="U103" s="208">
        <f t="shared" si="16"/>
        <v>59</v>
      </c>
      <c r="V103" s="188">
        <f t="shared" si="17"/>
        <v>19.098593171027442</v>
      </c>
      <c r="W103" s="188">
        <f t="shared" si="18"/>
        <v>4.633849164044944</v>
      </c>
      <c r="X103" s="188">
        <f t="shared" si="19"/>
        <v>-1.4984583498728197</v>
      </c>
      <c r="Y103" s="188">
        <f t="shared" si="20"/>
        <v>-19.039718582114403</v>
      </c>
      <c r="Z103" s="206">
        <f t="shared" si="21"/>
        <v>20</v>
      </c>
      <c r="AA103" s="189">
        <f t="shared" si="22"/>
        <v>5.7746482927568605</v>
      </c>
      <c r="AB103" s="189">
        <f t="shared" si="23"/>
        <v>94.50798311186091</v>
      </c>
      <c r="AC103" s="209">
        <f t="shared" si="24"/>
        <v>-1.7844644590001444</v>
      </c>
    </row>
    <row r="104" spans="20:29" ht="15.75">
      <c r="T104" s="134">
        <v>60</v>
      </c>
      <c r="U104" s="208">
        <f t="shared" si="16"/>
        <v>60</v>
      </c>
      <c r="V104" s="188">
        <f t="shared" si="17"/>
        <v>20.098593171027442</v>
      </c>
      <c r="W104" s="188">
        <f t="shared" si="18"/>
        <v>4.71238898038469</v>
      </c>
      <c r="X104" s="188">
        <f t="shared" si="19"/>
        <v>-3.6935640553981816E-15</v>
      </c>
      <c r="Y104" s="188">
        <f t="shared" si="20"/>
        <v>-20.098593171027442</v>
      </c>
      <c r="Z104" s="206">
        <f t="shared" si="21"/>
        <v>20</v>
      </c>
      <c r="AA104" s="189">
        <f t="shared" si="22"/>
        <v>5.7746482927568605</v>
      </c>
      <c r="AB104" s="189">
        <f t="shared" si="23"/>
        <v>94.50798311186091</v>
      </c>
      <c r="AC104" s="209">
        <f t="shared" si="24"/>
        <v>-1.7844644590001444</v>
      </c>
    </row>
    <row r="105" spans="20:29" ht="15.75">
      <c r="T105" s="134">
        <v>61</v>
      </c>
      <c r="U105" s="208">
        <f t="shared" si="16"/>
        <v>61</v>
      </c>
      <c r="V105" s="188">
        <f t="shared" si="17"/>
        <v>19.098593171027442</v>
      </c>
      <c r="W105" s="188">
        <f t="shared" si="18"/>
        <v>4.790928796724435</v>
      </c>
      <c r="X105" s="188">
        <f t="shared" si="19"/>
        <v>1.4984583498728128</v>
      </c>
      <c r="Y105" s="188">
        <f t="shared" si="20"/>
        <v>-19.039718582114403</v>
      </c>
      <c r="Z105" s="206">
        <f t="shared" si="21"/>
        <v>20</v>
      </c>
      <c r="AA105" s="189">
        <f t="shared" si="22"/>
        <v>5.7746482927568605</v>
      </c>
      <c r="AB105" s="189">
        <f t="shared" si="23"/>
        <v>94.50798311186091</v>
      </c>
      <c r="AC105" s="209">
        <f t="shared" si="24"/>
        <v>-1.7844644590001444</v>
      </c>
    </row>
    <row r="106" spans="20:29" ht="15.75">
      <c r="T106" s="134">
        <v>62</v>
      </c>
      <c r="U106" s="208">
        <f t="shared" si="16"/>
        <v>62</v>
      </c>
      <c r="V106" s="188">
        <f t="shared" si="17"/>
        <v>20.098593171027442</v>
      </c>
      <c r="W106" s="188">
        <f t="shared" si="18"/>
        <v>4.869468613064179</v>
      </c>
      <c r="X106" s="188">
        <f t="shared" si="19"/>
        <v>3.1441126707709115</v>
      </c>
      <c r="Y106" s="188">
        <f t="shared" si="20"/>
        <v>-19.851146137388863</v>
      </c>
      <c r="Z106" s="206">
        <f t="shared" si="21"/>
        <v>20</v>
      </c>
      <c r="AA106" s="189">
        <f t="shared" si="22"/>
        <v>5.7746482927568605</v>
      </c>
      <c r="AB106" s="189">
        <f t="shared" si="23"/>
        <v>94.50798311186091</v>
      </c>
      <c r="AC106" s="209">
        <f t="shared" si="24"/>
        <v>-1.7844644590001444</v>
      </c>
    </row>
    <row r="107" spans="20:29" ht="15.75">
      <c r="T107" s="134">
        <v>63</v>
      </c>
      <c r="U107" s="208">
        <f t="shared" si="16"/>
        <v>63</v>
      </c>
      <c r="V107" s="188">
        <f t="shared" si="17"/>
        <v>19.098593171027442</v>
      </c>
      <c r="W107" s="188">
        <f t="shared" si="18"/>
        <v>4.948008429403924</v>
      </c>
      <c r="X107" s="188">
        <f t="shared" si="19"/>
        <v>4.4584780319464</v>
      </c>
      <c r="Y107" s="188">
        <f t="shared" si="20"/>
        <v>-18.570897521419568</v>
      </c>
      <c r="Z107" s="206">
        <f t="shared" si="21"/>
        <v>20</v>
      </c>
      <c r="AA107" s="189">
        <f t="shared" si="22"/>
        <v>5.7746482927568605</v>
      </c>
      <c r="AB107" s="189">
        <f t="shared" si="23"/>
        <v>94.50798311186091</v>
      </c>
      <c r="AC107" s="209">
        <f t="shared" si="24"/>
        <v>-1.7844644590001444</v>
      </c>
    </row>
    <row r="108" spans="20:29" ht="15.75">
      <c r="T108" s="134">
        <v>64</v>
      </c>
      <c r="U108" s="208">
        <f aca="true" t="shared" si="25" ref="U108:U124">MIN(T108,2*$V$30)</f>
        <v>64</v>
      </c>
      <c r="V108" s="188">
        <f aca="true" t="shared" si="26" ref="V108:V124">IF(U108/2=ROUND(U108/2,0),$V$33+$V$40,$V$33)</f>
        <v>20.098593171027442</v>
      </c>
      <c r="W108" s="188">
        <f aca="true" t="shared" si="27" ref="W108:W124">U108*$V$42</f>
        <v>5.026548245743669</v>
      </c>
      <c r="X108" s="188">
        <f aca="true" t="shared" si="28" ref="X108:X124">V108*COS(W108+2*PI()*$V$35*$U$3)+$U$38</f>
        <v>6.21080685287574</v>
      </c>
      <c r="Y108" s="188">
        <f aca="true" t="shared" si="29" ref="Y108:Y124">V108*SIN(W108+2*PI()*$V$35*$U$3)+$V$38</f>
        <v>-19.114898003670923</v>
      </c>
      <c r="Z108" s="206">
        <f aca="true" t="shared" si="30" ref="Z108:Z124">MIN(T108,2*$AA$30)</f>
        <v>20</v>
      </c>
      <c r="AA108" s="189">
        <f aca="true" t="shared" si="31" ref="AA108:AA124">IF(Z108/2=ROUND(Z108/2,0),$AA$33+$AA$40,$AA$33)</f>
        <v>5.7746482927568605</v>
      </c>
      <c r="AB108" s="189">
        <f aca="true" t="shared" si="32" ref="AB108:AB124">AA108*COS(Z108*$AA$42+2*PI()*$AA$35*$U$3+$AA$42+PI())+$Z$38</f>
        <v>94.50798311186091</v>
      </c>
      <c r="AC108" s="209">
        <f aca="true" t="shared" si="33" ref="AC108:AC124">AA108*SIN(Z108*$AA$42+2*PI()*$AA$35*$U$3+$AA$42+PI())+$AA$38</f>
        <v>-1.7844644590001444</v>
      </c>
    </row>
    <row r="109" spans="20:29" ht="15.75">
      <c r="T109" s="134">
        <v>65</v>
      </c>
      <c r="U109" s="208">
        <f t="shared" si="25"/>
        <v>65</v>
      </c>
      <c r="V109" s="188">
        <f t="shared" si="26"/>
        <v>19.098593171027442</v>
      </c>
      <c r="W109" s="188">
        <f t="shared" si="27"/>
        <v>5.105088062083414</v>
      </c>
      <c r="X109" s="188">
        <f t="shared" si="28"/>
        <v>7.30871518803325</v>
      </c>
      <c r="Y109" s="188">
        <f t="shared" si="29"/>
        <v>-17.644799330472086</v>
      </c>
      <c r="Z109" s="206">
        <f t="shared" si="30"/>
        <v>20</v>
      </c>
      <c r="AA109" s="189">
        <f t="shared" si="31"/>
        <v>5.7746482927568605</v>
      </c>
      <c r="AB109" s="189">
        <f t="shared" si="32"/>
        <v>94.50798311186091</v>
      </c>
      <c r="AC109" s="209">
        <f t="shared" si="33"/>
        <v>-1.7844644590001444</v>
      </c>
    </row>
    <row r="110" spans="20:29" ht="15.75">
      <c r="T110" s="134">
        <v>66</v>
      </c>
      <c r="U110" s="208">
        <f t="shared" si="25"/>
        <v>66</v>
      </c>
      <c r="V110" s="188">
        <f t="shared" si="26"/>
        <v>20.098593171027442</v>
      </c>
      <c r="W110" s="188">
        <f t="shared" si="27"/>
        <v>5.183627878423159</v>
      </c>
      <c r="X110" s="188">
        <f t="shared" si="28"/>
        <v>9.124570357776587</v>
      </c>
      <c r="Y110" s="188">
        <f t="shared" si="29"/>
        <v>-17.907977642393227</v>
      </c>
      <c r="Z110" s="206">
        <f t="shared" si="30"/>
        <v>20</v>
      </c>
      <c r="AA110" s="189">
        <f t="shared" si="31"/>
        <v>5.7746482927568605</v>
      </c>
      <c r="AB110" s="189">
        <f t="shared" si="32"/>
        <v>94.50798311186091</v>
      </c>
      <c r="AC110" s="209">
        <f t="shared" si="33"/>
        <v>-1.7844644590001444</v>
      </c>
    </row>
    <row r="111" spans="20:29" ht="15.75">
      <c r="T111" s="134">
        <v>67</v>
      </c>
      <c r="U111" s="208">
        <f t="shared" si="25"/>
        <v>67</v>
      </c>
      <c r="V111" s="188">
        <f t="shared" si="26"/>
        <v>19.098593171027442</v>
      </c>
      <c r="W111" s="188">
        <f t="shared" si="27"/>
        <v>5.262167694762903</v>
      </c>
      <c r="X111" s="188">
        <f t="shared" si="28"/>
        <v>9.978987519955652</v>
      </c>
      <c r="Y111" s="188">
        <f t="shared" si="29"/>
        <v>-16.284227620276788</v>
      </c>
      <c r="Z111" s="206">
        <f t="shared" si="30"/>
        <v>20</v>
      </c>
      <c r="AA111" s="189">
        <f t="shared" si="31"/>
        <v>5.7746482927568605</v>
      </c>
      <c r="AB111" s="189">
        <f t="shared" si="32"/>
        <v>94.50798311186091</v>
      </c>
      <c r="AC111" s="209">
        <f t="shared" si="33"/>
        <v>-1.7844644590001444</v>
      </c>
    </row>
    <row r="112" spans="20:29" ht="15.75">
      <c r="T112" s="134">
        <v>68</v>
      </c>
      <c r="U112" s="208">
        <f t="shared" si="25"/>
        <v>68</v>
      </c>
      <c r="V112" s="188">
        <f t="shared" si="26"/>
        <v>20.098593171027442</v>
      </c>
      <c r="W112" s="188">
        <f t="shared" si="27"/>
        <v>5.340707511102648</v>
      </c>
      <c r="X112" s="188">
        <f t="shared" si="28"/>
        <v>11.813656657756137</v>
      </c>
      <c r="Y112" s="188">
        <f t="shared" si="29"/>
        <v>-16.260103438389468</v>
      </c>
      <c r="Z112" s="206">
        <f t="shared" si="30"/>
        <v>20</v>
      </c>
      <c r="AA112" s="189">
        <f t="shared" si="31"/>
        <v>5.7746482927568605</v>
      </c>
      <c r="AB112" s="189">
        <f t="shared" si="32"/>
        <v>94.50798311186091</v>
      </c>
      <c r="AC112" s="209">
        <f t="shared" si="33"/>
        <v>-1.7844644590001444</v>
      </c>
    </row>
    <row r="113" spans="20:29" ht="15.75">
      <c r="T113" s="134">
        <v>69</v>
      </c>
      <c r="U113" s="208">
        <f t="shared" si="25"/>
        <v>69</v>
      </c>
      <c r="V113" s="188">
        <f t="shared" si="26"/>
        <v>19.098593171027442</v>
      </c>
      <c r="W113" s="188">
        <f t="shared" si="27"/>
        <v>5.419247327442394</v>
      </c>
      <c r="X113" s="188">
        <f t="shared" si="28"/>
        <v>12.40354406077595</v>
      </c>
      <c r="Y113" s="188">
        <f t="shared" si="29"/>
        <v>-14.522684181817276</v>
      </c>
      <c r="Z113" s="206">
        <f t="shared" si="30"/>
        <v>20</v>
      </c>
      <c r="AA113" s="189">
        <f t="shared" si="31"/>
        <v>5.7746482927568605</v>
      </c>
      <c r="AB113" s="189">
        <f t="shared" si="32"/>
        <v>94.50798311186091</v>
      </c>
      <c r="AC113" s="209">
        <f t="shared" si="33"/>
        <v>-1.7844644590001444</v>
      </c>
    </row>
    <row r="114" spans="20:29" ht="15.75">
      <c r="T114" s="134">
        <v>70</v>
      </c>
      <c r="U114" s="208">
        <f t="shared" si="25"/>
        <v>70</v>
      </c>
      <c r="V114" s="188">
        <f t="shared" si="26"/>
        <v>20.098593171027442</v>
      </c>
      <c r="W114" s="188">
        <f t="shared" si="27"/>
        <v>5.497787143782138</v>
      </c>
      <c r="X114" s="188">
        <f t="shared" si="28"/>
        <v>14.211851523543137</v>
      </c>
      <c r="Y114" s="188">
        <f t="shared" si="29"/>
        <v>-14.211851523543142</v>
      </c>
      <c r="Z114" s="206">
        <f t="shared" si="30"/>
        <v>20</v>
      </c>
      <c r="AA114" s="189">
        <f t="shared" si="31"/>
        <v>5.7746482927568605</v>
      </c>
      <c r="AB114" s="189">
        <f t="shared" si="32"/>
        <v>94.50798311186091</v>
      </c>
      <c r="AC114" s="209">
        <f t="shared" si="33"/>
        <v>-1.7844644590001444</v>
      </c>
    </row>
    <row r="115" spans="20:29" ht="15.75">
      <c r="T115" s="134">
        <v>71</v>
      </c>
      <c r="U115" s="208">
        <f t="shared" si="25"/>
        <v>71</v>
      </c>
      <c r="V115" s="188">
        <f t="shared" si="26"/>
        <v>19.098593171027442</v>
      </c>
      <c r="W115" s="188">
        <f t="shared" si="27"/>
        <v>5.576326960121882</v>
      </c>
      <c r="X115" s="188">
        <f t="shared" si="28"/>
        <v>14.52268418181727</v>
      </c>
      <c r="Y115" s="188">
        <f t="shared" si="29"/>
        <v>-12.403544060775957</v>
      </c>
      <c r="Z115" s="206">
        <f t="shared" si="30"/>
        <v>20</v>
      </c>
      <c r="AA115" s="189">
        <f t="shared" si="31"/>
        <v>5.7746482927568605</v>
      </c>
      <c r="AB115" s="189">
        <f t="shared" si="32"/>
        <v>94.50798311186091</v>
      </c>
      <c r="AC115" s="209">
        <f t="shared" si="33"/>
        <v>-1.7844644590001444</v>
      </c>
    </row>
    <row r="116" spans="20:29" ht="15.75">
      <c r="T116" s="134">
        <v>72</v>
      </c>
      <c r="U116" s="208">
        <f t="shared" si="25"/>
        <v>72</v>
      </c>
      <c r="V116" s="188">
        <f t="shared" si="26"/>
        <v>20.098593171027442</v>
      </c>
      <c r="W116" s="188">
        <f t="shared" si="27"/>
        <v>5.654866776461628</v>
      </c>
      <c r="X116" s="188">
        <f t="shared" si="28"/>
        <v>16.260103438389464</v>
      </c>
      <c r="Y116" s="188">
        <f t="shared" si="29"/>
        <v>-11.813656657756146</v>
      </c>
      <c r="Z116" s="206">
        <f t="shared" si="30"/>
        <v>20</v>
      </c>
      <c r="AA116" s="189">
        <f t="shared" si="31"/>
        <v>5.7746482927568605</v>
      </c>
      <c r="AB116" s="189">
        <f t="shared" si="32"/>
        <v>94.50798311186091</v>
      </c>
      <c r="AC116" s="209">
        <f t="shared" si="33"/>
        <v>-1.7844644590001444</v>
      </c>
    </row>
    <row r="117" spans="20:29" ht="15.75">
      <c r="T117" s="134">
        <v>73</v>
      </c>
      <c r="U117" s="208">
        <f t="shared" si="25"/>
        <v>73</v>
      </c>
      <c r="V117" s="188">
        <f t="shared" si="26"/>
        <v>19.098593171027442</v>
      </c>
      <c r="W117" s="188">
        <f t="shared" si="27"/>
        <v>5.733406592801373</v>
      </c>
      <c r="X117" s="188">
        <f t="shared" si="28"/>
        <v>16.284227620276784</v>
      </c>
      <c r="Y117" s="188">
        <f t="shared" si="29"/>
        <v>-9.978987519955657</v>
      </c>
      <c r="Z117" s="206">
        <f t="shared" si="30"/>
        <v>20</v>
      </c>
      <c r="AA117" s="189">
        <f t="shared" si="31"/>
        <v>5.7746482927568605</v>
      </c>
      <c r="AB117" s="189">
        <f t="shared" si="32"/>
        <v>94.50798311186091</v>
      </c>
      <c r="AC117" s="209">
        <f t="shared" si="33"/>
        <v>-1.7844644590001444</v>
      </c>
    </row>
    <row r="118" spans="20:29" ht="15.75">
      <c r="T118" s="134">
        <v>74</v>
      </c>
      <c r="U118" s="208">
        <f t="shared" si="25"/>
        <v>74</v>
      </c>
      <c r="V118" s="188">
        <f t="shared" si="26"/>
        <v>20.098593171027442</v>
      </c>
      <c r="W118" s="188">
        <f t="shared" si="27"/>
        <v>5.811946409141117</v>
      </c>
      <c r="X118" s="188">
        <f t="shared" si="28"/>
        <v>17.907977642393227</v>
      </c>
      <c r="Y118" s="188">
        <f t="shared" si="29"/>
        <v>-9.124570357776594</v>
      </c>
      <c r="Z118" s="206">
        <f t="shared" si="30"/>
        <v>20</v>
      </c>
      <c r="AA118" s="189">
        <f t="shared" si="31"/>
        <v>5.7746482927568605</v>
      </c>
      <c r="AB118" s="189">
        <f t="shared" si="32"/>
        <v>94.50798311186091</v>
      </c>
      <c r="AC118" s="209">
        <f t="shared" si="33"/>
        <v>-1.7844644590001444</v>
      </c>
    </row>
    <row r="119" spans="20:29" ht="15.75">
      <c r="T119" s="134">
        <v>75</v>
      </c>
      <c r="U119" s="208">
        <f t="shared" si="25"/>
        <v>75</v>
      </c>
      <c r="V119" s="188">
        <f t="shared" si="26"/>
        <v>19.098593171027442</v>
      </c>
      <c r="W119" s="188">
        <f t="shared" si="27"/>
        <v>5.890486225480862</v>
      </c>
      <c r="X119" s="188">
        <f t="shared" si="28"/>
        <v>17.644799330472082</v>
      </c>
      <c r="Y119" s="188">
        <f t="shared" si="29"/>
        <v>-7.308715188033258</v>
      </c>
      <c r="Z119" s="206">
        <f t="shared" si="30"/>
        <v>20</v>
      </c>
      <c r="AA119" s="189">
        <f t="shared" si="31"/>
        <v>5.7746482927568605</v>
      </c>
      <c r="AB119" s="189">
        <f t="shared" si="32"/>
        <v>94.50798311186091</v>
      </c>
      <c r="AC119" s="209">
        <f t="shared" si="33"/>
        <v>-1.7844644590001444</v>
      </c>
    </row>
    <row r="120" spans="20:29" ht="15.75">
      <c r="T120" s="134">
        <v>76</v>
      </c>
      <c r="U120" s="208">
        <f t="shared" si="25"/>
        <v>76</v>
      </c>
      <c r="V120" s="188">
        <f t="shared" si="26"/>
        <v>20.098593171027442</v>
      </c>
      <c r="W120" s="188">
        <f t="shared" si="27"/>
        <v>5.969026041820607</v>
      </c>
      <c r="X120" s="188">
        <f t="shared" si="28"/>
        <v>19.114898003670923</v>
      </c>
      <c r="Y120" s="188">
        <f t="shared" si="29"/>
        <v>-6.210806852875748</v>
      </c>
      <c r="Z120" s="206">
        <f t="shared" si="30"/>
        <v>20</v>
      </c>
      <c r="AA120" s="189">
        <f t="shared" si="31"/>
        <v>5.7746482927568605</v>
      </c>
      <c r="AB120" s="189">
        <f t="shared" si="32"/>
        <v>94.50798311186091</v>
      </c>
      <c r="AC120" s="209">
        <f t="shared" si="33"/>
        <v>-1.7844644590001444</v>
      </c>
    </row>
    <row r="121" spans="20:29" ht="15.75">
      <c r="T121" s="134">
        <v>77</v>
      </c>
      <c r="U121" s="208">
        <f t="shared" si="25"/>
        <v>77</v>
      </c>
      <c r="V121" s="188">
        <f t="shared" si="26"/>
        <v>19.098593171027442</v>
      </c>
      <c r="W121" s="188">
        <f t="shared" si="27"/>
        <v>6.047565858160352</v>
      </c>
      <c r="X121" s="188">
        <f t="shared" si="28"/>
        <v>18.570897521419564</v>
      </c>
      <c r="Y121" s="188">
        <f t="shared" si="29"/>
        <v>-4.458478031946408</v>
      </c>
      <c r="Z121" s="206">
        <f t="shared" si="30"/>
        <v>20</v>
      </c>
      <c r="AA121" s="189">
        <f t="shared" si="31"/>
        <v>5.7746482927568605</v>
      </c>
      <c r="AB121" s="189">
        <f t="shared" si="32"/>
        <v>94.50798311186091</v>
      </c>
      <c r="AC121" s="209">
        <f t="shared" si="33"/>
        <v>-1.7844644590001444</v>
      </c>
    </row>
    <row r="122" spans="20:29" ht="15.75">
      <c r="T122" s="134">
        <v>78</v>
      </c>
      <c r="U122" s="208">
        <f t="shared" si="25"/>
        <v>78</v>
      </c>
      <c r="V122" s="188">
        <f t="shared" si="26"/>
        <v>20.098593171027442</v>
      </c>
      <c r="W122" s="188">
        <f t="shared" si="27"/>
        <v>6.126105674500097</v>
      </c>
      <c r="X122" s="188">
        <f t="shared" si="28"/>
        <v>19.85114613738886</v>
      </c>
      <c r="Y122" s="188">
        <f t="shared" si="29"/>
        <v>-3.1441126707709204</v>
      </c>
      <c r="Z122" s="206">
        <f t="shared" si="30"/>
        <v>20</v>
      </c>
      <c r="AA122" s="189">
        <f t="shared" si="31"/>
        <v>5.7746482927568605</v>
      </c>
      <c r="AB122" s="189">
        <f t="shared" si="32"/>
        <v>94.50798311186091</v>
      </c>
      <c r="AC122" s="209">
        <f t="shared" si="33"/>
        <v>-1.7844644590001444</v>
      </c>
    </row>
    <row r="123" spans="20:29" ht="15.75">
      <c r="T123" s="134">
        <v>79</v>
      </c>
      <c r="U123" s="208">
        <f t="shared" si="25"/>
        <v>79</v>
      </c>
      <c r="V123" s="188">
        <f t="shared" si="26"/>
        <v>19.098593171027442</v>
      </c>
      <c r="W123" s="188">
        <f t="shared" si="27"/>
        <v>6.204645490839841</v>
      </c>
      <c r="X123" s="188">
        <f t="shared" si="28"/>
        <v>19.039718582114403</v>
      </c>
      <c r="Y123" s="188">
        <f t="shared" si="29"/>
        <v>-1.4984583498728208</v>
      </c>
      <c r="Z123" s="206">
        <f t="shared" si="30"/>
        <v>20</v>
      </c>
      <c r="AA123" s="189">
        <f t="shared" si="31"/>
        <v>5.7746482927568605</v>
      </c>
      <c r="AB123" s="189">
        <f t="shared" si="32"/>
        <v>94.50798311186091</v>
      </c>
      <c r="AC123" s="209">
        <f t="shared" si="33"/>
        <v>-1.7844644590001444</v>
      </c>
    </row>
    <row r="124" spans="20:29" ht="15.75">
      <c r="T124" s="134">
        <v>80</v>
      </c>
      <c r="U124" s="210">
        <f t="shared" si="25"/>
        <v>80</v>
      </c>
      <c r="V124" s="211">
        <f t="shared" si="26"/>
        <v>20.098593171027442</v>
      </c>
      <c r="W124" s="211">
        <f t="shared" si="27"/>
        <v>6.283185307179586</v>
      </c>
      <c r="X124" s="211">
        <f t="shared" si="28"/>
        <v>20.098593171027442</v>
      </c>
      <c r="Y124" s="211">
        <f t="shared" si="29"/>
        <v>-4.924752073864242E-15</v>
      </c>
      <c r="Z124" s="206">
        <f t="shared" si="30"/>
        <v>20</v>
      </c>
      <c r="AA124" s="189">
        <f t="shared" si="31"/>
        <v>5.7746482927568605</v>
      </c>
      <c r="AB124" s="189">
        <f t="shared" si="32"/>
        <v>94.50798311186091</v>
      </c>
      <c r="AC124" s="209">
        <f t="shared" si="33"/>
        <v>-1.7844644590001444</v>
      </c>
    </row>
    <row r="125" spans="21:30" ht="15.75">
      <c r="U125" s="212" t="s">
        <v>141</v>
      </c>
      <c r="V125" s="213">
        <f>V33-V40/2</f>
        <v>18.598593171027442</v>
      </c>
      <c r="W125" s="178"/>
      <c r="X125" s="178"/>
      <c r="Y125" s="178"/>
      <c r="Z125" s="214" t="s">
        <v>141</v>
      </c>
      <c r="AA125" s="215">
        <f>AA33-AA40/2</f>
        <v>4.2746482927568605</v>
      </c>
      <c r="AB125" s="216"/>
      <c r="AC125" s="217"/>
      <c r="AD125" s="198"/>
    </row>
    <row r="126" spans="21:30" ht="15.75">
      <c r="U126" s="205" t="s">
        <v>5</v>
      </c>
      <c r="V126" s="182" t="s">
        <v>6</v>
      </c>
      <c r="W126" s="182"/>
      <c r="X126" s="182"/>
      <c r="Y126" s="182"/>
      <c r="Z126" s="206" t="s">
        <v>5</v>
      </c>
      <c r="AA126" s="198" t="s">
        <v>6</v>
      </c>
      <c r="AB126" s="198"/>
      <c r="AC126" s="218"/>
      <c r="AD126" s="198"/>
    </row>
    <row r="127" spans="21:30" ht="15.75">
      <c r="U127" s="205">
        <v>0</v>
      </c>
      <c r="V127" s="182">
        <v>0</v>
      </c>
      <c r="W127" s="182"/>
      <c r="X127" s="182"/>
      <c r="Y127" s="182"/>
      <c r="Z127" s="197">
        <f>0+$Z$38</f>
        <v>100</v>
      </c>
      <c r="AA127" s="198">
        <v>0</v>
      </c>
      <c r="AB127" s="198"/>
      <c r="AC127" s="218"/>
      <c r="AD127" s="198"/>
    </row>
    <row r="128" spans="21:30" ht="15.75">
      <c r="U128" s="219">
        <f>$V$125*COS(2*PI()*$V$35*$U$3)</f>
        <v>18.598593171027442</v>
      </c>
      <c r="V128" s="220">
        <f>$V$125*SIN(2*PI()*$V$35*$U$3)</f>
        <v>0</v>
      </c>
      <c r="W128" s="221"/>
      <c r="X128" s="221"/>
      <c r="Y128" s="221"/>
      <c r="Z128" s="222">
        <f>$AA$125*COS(2*PI()*$AA$35*$U$3)+$Z$38</f>
        <v>104.27464829275686</v>
      </c>
      <c r="AA128" s="223">
        <f>$AA$125*SIN(2*PI()*$AA$35*$U$3)</f>
        <v>0</v>
      </c>
      <c r="AB128" s="224"/>
      <c r="AC128" s="225"/>
      <c r="AD128" s="198"/>
    </row>
    <row r="129" spans="21:30" ht="15.75">
      <c r="U129" s="212" t="s">
        <v>142</v>
      </c>
      <c r="V129" s="213"/>
      <c r="W129" s="178"/>
      <c r="X129" s="178"/>
      <c r="Y129" s="178"/>
      <c r="Z129" s="214" t="s">
        <v>142</v>
      </c>
      <c r="AA129" s="215"/>
      <c r="AB129" s="216"/>
      <c r="AC129" s="217"/>
      <c r="AD129" s="198"/>
    </row>
    <row r="130" spans="21:30" ht="15.75">
      <c r="U130" s="205" t="s">
        <v>5</v>
      </c>
      <c r="V130" s="182" t="s">
        <v>6</v>
      </c>
      <c r="W130" s="182"/>
      <c r="X130" s="182"/>
      <c r="Y130" s="182"/>
      <c r="Z130" s="206" t="s">
        <v>5</v>
      </c>
      <c r="AA130" s="198" t="s">
        <v>6</v>
      </c>
      <c r="AB130" s="198"/>
      <c r="AC130" s="218"/>
      <c r="AD130" s="198"/>
    </row>
    <row r="131" spans="21:30" ht="15.75">
      <c r="U131" s="205">
        <v>0</v>
      </c>
      <c r="V131" s="182">
        <v>0</v>
      </c>
      <c r="W131" s="182"/>
      <c r="X131" s="182"/>
      <c r="Y131" s="182"/>
      <c r="Z131" s="197">
        <f>0+$Z$38</f>
        <v>100</v>
      </c>
      <c r="AA131" s="198">
        <v>0</v>
      </c>
      <c r="AB131" s="198"/>
      <c r="AC131" s="218"/>
      <c r="AD131" s="198"/>
    </row>
    <row r="132" spans="21:30" ht="15.75">
      <c r="U132" s="219">
        <f>$V$125*COS(2*PI()*$V$35*$U$3+2*PI()/3)</f>
        <v>-9.299296585513718</v>
      </c>
      <c r="V132" s="220">
        <f>$V$125*SIN(2*PI()*$V$35*$U$3+2*PI()/3)</f>
        <v>16.106854160761547</v>
      </c>
      <c r="W132" s="221"/>
      <c r="X132" s="221"/>
      <c r="Y132" s="221"/>
      <c r="Z132" s="222">
        <f>$AA$125*COS(2*PI()*$AA$35*$U$3+2*PI()/3)+$Z$38</f>
        <v>97.86267585362157</v>
      </c>
      <c r="AA132" s="223">
        <f>$AA$125*SIN(2*PI()*$AA$35*$U$3+2*PI()/3)</f>
        <v>3.7019540137712217</v>
      </c>
      <c r="AB132" s="224"/>
      <c r="AC132" s="225"/>
      <c r="AD132" s="198"/>
    </row>
    <row r="133" spans="21:30" ht="15.75">
      <c r="U133" s="212" t="s">
        <v>143</v>
      </c>
      <c r="V133" s="213"/>
      <c r="W133" s="178"/>
      <c r="X133" s="178"/>
      <c r="Y133" s="178"/>
      <c r="Z133" s="214" t="s">
        <v>143</v>
      </c>
      <c r="AA133" s="215"/>
      <c r="AB133" s="216"/>
      <c r="AC133" s="217"/>
      <c r="AD133" s="198"/>
    </row>
    <row r="134" spans="21:30" ht="15.75">
      <c r="U134" s="205" t="s">
        <v>5</v>
      </c>
      <c r="V134" s="182" t="s">
        <v>6</v>
      </c>
      <c r="W134" s="182"/>
      <c r="X134" s="182"/>
      <c r="Y134" s="182"/>
      <c r="Z134" s="206" t="s">
        <v>5</v>
      </c>
      <c r="AA134" s="198" t="s">
        <v>6</v>
      </c>
      <c r="AB134" s="198"/>
      <c r="AC134" s="218"/>
      <c r="AD134" s="198"/>
    </row>
    <row r="135" spans="21:30" ht="15.75">
      <c r="U135" s="205">
        <v>0</v>
      </c>
      <c r="V135" s="182">
        <v>0</v>
      </c>
      <c r="W135" s="182"/>
      <c r="X135" s="182"/>
      <c r="Y135" s="182"/>
      <c r="Z135" s="197">
        <f>0+$Z$38</f>
        <v>100</v>
      </c>
      <c r="AA135" s="198">
        <v>0</v>
      </c>
      <c r="AB135" s="198"/>
      <c r="AC135" s="218"/>
      <c r="AD135" s="198"/>
    </row>
    <row r="136" spans="21:30" ht="15.75">
      <c r="U136" s="219">
        <f>$V$125*COS(2*PI()*$V$35*$U$3+2*2*PI()/3)</f>
        <v>-9.29929658551373</v>
      </c>
      <c r="V136" s="220">
        <f>$V$125*SIN(2*PI()*$V$35*$U$3+2*2*PI()/3)</f>
        <v>-16.10685416076154</v>
      </c>
      <c r="W136" s="221"/>
      <c r="X136" s="221"/>
      <c r="Y136" s="221"/>
      <c r="Z136" s="222">
        <f>$AA$125*COS(2*PI()*$AA$35*$U$3+2*2*PI()/3)+$Z$38</f>
        <v>97.86267585362157</v>
      </c>
      <c r="AA136" s="223">
        <f>$AA$125*SIN(2*PI()*$AA$35*$U$3+2*2*PI()/3)</f>
        <v>-3.7019540137712204</v>
      </c>
      <c r="AB136" s="224"/>
      <c r="AC136" s="225"/>
      <c r="AD136" s="198"/>
    </row>
  </sheetData>
  <sheetProtection password="DE47" sheet="1" objects="1" scenarios="1" selectLockedCells="1" selectUnlockedCells="1"/>
  <mergeCells count="1">
    <mergeCell ref="B49:C49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"/>
  <dimension ref="B1:AJ81"/>
  <sheetViews>
    <sheetView showGridLines="0" showRowColHeaders="0" showOutlineSymbols="0" workbookViewId="0" topLeftCell="A1">
      <pane xSplit="15" topLeftCell="P1" activePane="topRight" state="frozen"/>
      <selection pane="topLeft" activeCell="A1" sqref="A1"/>
      <selection pane="topRight" activeCell="P1" sqref="P1:P16384"/>
    </sheetView>
  </sheetViews>
  <sheetFormatPr defaultColWidth="9.140625" defaultRowHeight="12.75"/>
  <cols>
    <col min="1" max="1" width="2.8515625" style="1" customWidth="1"/>
    <col min="2" max="2" width="16.7109375" style="1" customWidth="1"/>
    <col min="3" max="3" width="14.00390625" style="1" bestFit="1" customWidth="1"/>
    <col min="4" max="4" width="5.140625" style="1" customWidth="1"/>
    <col min="5" max="5" width="12.140625" style="1" bestFit="1" customWidth="1"/>
    <col min="6" max="6" width="7.7109375" style="1" customWidth="1"/>
    <col min="7" max="7" width="2.7109375" style="1" customWidth="1"/>
    <col min="8" max="8" width="47.8515625" style="1" customWidth="1"/>
    <col min="9" max="9" width="6.421875" style="1" customWidth="1"/>
    <col min="10" max="11" width="10.00390625" style="1" customWidth="1"/>
    <col min="12" max="12" width="9.140625" style="1" customWidth="1"/>
    <col min="13" max="13" width="60.00390625" style="1" customWidth="1"/>
    <col min="14" max="15" width="99.421875" style="1" customWidth="1"/>
    <col min="16" max="17" width="9.28125" style="1" bestFit="1" customWidth="1"/>
    <col min="18" max="18" width="9.140625" style="1" customWidth="1"/>
    <col min="19" max="20" width="9.28125" style="1" bestFit="1" customWidth="1"/>
    <col min="21" max="21" width="31.28125" style="1" bestFit="1" customWidth="1"/>
    <col min="22" max="23" width="14.421875" style="1" bestFit="1" customWidth="1"/>
    <col min="24" max="25" width="9.140625" style="1" customWidth="1"/>
    <col min="26" max="26" width="10.140625" style="1" bestFit="1" customWidth="1"/>
    <col min="27" max="27" width="22.00390625" style="1" customWidth="1"/>
    <col min="28" max="28" width="12.28125" style="1" bestFit="1" customWidth="1"/>
    <col min="29" max="29" width="16.00390625" style="1" bestFit="1" customWidth="1"/>
    <col min="30" max="30" width="12.421875" style="1" bestFit="1" customWidth="1"/>
    <col min="31" max="31" width="2.7109375" style="1" customWidth="1"/>
    <col min="32" max="32" width="3.8515625" style="1" customWidth="1"/>
    <col min="33" max="34" width="9.421875" style="1" bestFit="1" customWidth="1"/>
    <col min="35" max="35" width="11.140625" style="1" bestFit="1" customWidth="1"/>
    <col min="36" max="36" width="9.421875" style="1" bestFit="1" customWidth="1"/>
    <col min="37" max="16384" width="9.140625" style="1" customWidth="1"/>
  </cols>
  <sheetData>
    <row r="1" spans="2:28" ht="18.75" customHeight="1">
      <c r="B1" s="46" t="s">
        <v>96</v>
      </c>
      <c r="C1" s="117"/>
      <c r="D1" s="117"/>
      <c r="L1" s="13"/>
      <c r="P1" s="8">
        <v>0</v>
      </c>
      <c r="Q1" s="9">
        <v>0</v>
      </c>
      <c r="R1" s="9" t="s">
        <v>14</v>
      </c>
      <c r="S1" s="9">
        <v>0</v>
      </c>
      <c r="T1" s="10">
        <v>0</v>
      </c>
      <c r="U1" s="73">
        <f>(P1*3600+Q1*60+S1+T1)/I7</f>
        <v>0</v>
      </c>
      <c r="V1" s="1" t="s">
        <v>63</v>
      </c>
      <c r="AA1" s="2" t="s">
        <v>49</v>
      </c>
      <c r="AB1" s="3">
        <f>C3</f>
        <v>1</v>
      </c>
    </row>
    <row r="2" spans="2:28" ht="3.75" customHeight="1">
      <c r="B2" s="116"/>
      <c r="C2" s="117"/>
      <c r="D2" s="117"/>
      <c r="L2" s="13"/>
      <c r="P2" s="11"/>
      <c r="Q2" s="11"/>
      <c r="R2" s="11"/>
      <c r="S2" s="11"/>
      <c r="T2" s="11"/>
      <c r="U2" s="73"/>
      <c r="AA2" s="2"/>
      <c r="AB2" s="3"/>
    </row>
    <row r="3" spans="2:28" ht="15" customHeight="1">
      <c r="B3" s="30" t="s">
        <v>46</v>
      </c>
      <c r="C3" s="118">
        <f>E3/100</f>
        <v>1</v>
      </c>
      <c r="D3" s="30" t="s">
        <v>1</v>
      </c>
      <c r="E3" s="23">
        <v>100</v>
      </c>
      <c r="F3" s="21"/>
      <c r="H3" s="30" t="s">
        <v>13</v>
      </c>
      <c r="I3" s="31" t="str">
        <f>IF(AI26=1,"Ja","Nee")</f>
        <v>Ja</v>
      </c>
      <c r="J3" s="113"/>
      <c r="K3" s="13"/>
      <c r="L3" s="13"/>
      <c r="U3" s="3">
        <f>U1*V20</f>
        <v>0</v>
      </c>
      <c r="V3" s="1" t="s">
        <v>64</v>
      </c>
      <c r="AA3" s="1" t="s">
        <v>54</v>
      </c>
      <c r="AB3" s="4">
        <f>C5</f>
        <v>3.2</v>
      </c>
    </row>
    <row r="4" spans="2:28" ht="3.75" customHeight="1">
      <c r="B4" s="12"/>
      <c r="C4" s="119"/>
      <c r="D4" s="120"/>
      <c r="E4" s="24"/>
      <c r="F4" s="25"/>
      <c r="H4" s="12"/>
      <c r="I4" s="28"/>
      <c r="J4" s="29"/>
      <c r="K4" s="13"/>
      <c r="L4" s="13"/>
      <c r="AB4" s="4"/>
    </row>
    <row r="5" spans="2:28" ht="15" customHeight="1">
      <c r="B5" s="30" t="s">
        <v>62</v>
      </c>
      <c r="C5" s="121">
        <f>E5/10</f>
        <v>3.2</v>
      </c>
      <c r="D5" s="30" t="s">
        <v>2</v>
      </c>
      <c r="E5" s="23">
        <v>32</v>
      </c>
      <c r="F5" s="21"/>
      <c r="H5" s="98" t="s">
        <v>97</v>
      </c>
      <c r="I5" s="31" t="str">
        <f>IF(V21=1,"Ja","Nee")</f>
        <v>Ja</v>
      </c>
      <c r="J5" s="106"/>
      <c r="L5" s="13"/>
      <c r="AA5" s="1" t="s">
        <v>9</v>
      </c>
      <c r="AB5" s="4">
        <f>9.81</f>
        <v>9.81</v>
      </c>
    </row>
    <row r="6" spans="2:28" ht="3.75" customHeight="1">
      <c r="B6" s="12"/>
      <c r="C6" s="122"/>
      <c r="D6" s="120"/>
      <c r="E6" s="26"/>
      <c r="F6" s="25"/>
      <c r="L6" s="13"/>
      <c r="AB6" s="4"/>
    </row>
    <row r="7" spans="2:29" ht="15" customHeight="1">
      <c r="B7" s="30" t="s">
        <v>47</v>
      </c>
      <c r="C7" s="123">
        <f>E7/1000</f>
        <v>0.01</v>
      </c>
      <c r="D7" s="30" t="s">
        <v>48</v>
      </c>
      <c r="E7" s="23">
        <v>10</v>
      </c>
      <c r="F7" s="21"/>
      <c r="H7" s="32" t="s">
        <v>15</v>
      </c>
      <c r="I7" s="33">
        <f>V20</f>
        <v>5</v>
      </c>
      <c r="J7" s="113">
        <v>3</v>
      </c>
      <c r="K7" s="13"/>
      <c r="L7" s="13"/>
      <c r="AA7" s="1" t="s">
        <v>55</v>
      </c>
      <c r="AB7" s="4" t="e">
        <f>ASIN(AB3^2/(AB1*AB5))</f>
        <v>#NUM!</v>
      </c>
      <c r="AC7" s="1" t="s">
        <v>56</v>
      </c>
    </row>
    <row r="8" spans="8:28" ht="3.75" customHeight="1" thickBot="1">
      <c r="H8" s="12"/>
      <c r="I8" s="28"/>
      <c r="J8" s="29"/>
      <c r="K8" s="13"/>
      <c r="L8" s="13"/>
      <c r="AA8" s="2" t="s">
        <v>10</v>
      </c>
      <c r="AB8" s="3"/>
    </row>
    <row r="9" spans="2:29" ht="15.75" customHeight="1" thickBot="1" thickTop="1">
      <c r="B9" s="126" t="s">
        <v>90</v>
      </c>
      <c r="C9" s="57"/>
      <c r="D9" s="22"/>
      <c r="E9" s="108">
        <f>(U1-ROUNDDOWN(U1/100,0)*100)</f>
        <v>0</v>
      </c>
      <c r="F9" s="109" t="s">
        <v>3</v>
      </c>
      <c r="H9" s="127" t="s">
        <v>72</v>
      </c>
      <c r="I9" s="81"/>
      <c r="J9" s="12"/>
      <c r="K9" s="12"/>
      <c r="L9" s="13"/>
      <c r="AA9" s="1" t="s">
        <v>57</v>
      </c>
      <c r="AB9" s="3" t="e">
        <f>(PI()/2+AB7)/AB15</f>
        <v>#NUM!</v>
      </c>
      <c r="AC9" s="71"/>
    </row>
    <row r="10" spans="8:28" ht="3.75" customHeight="1" thickTop="1">
      <c r="H10" s="125"/>
      <c r="I10" s="125"/>
      <c r="J10" s="13"/>
      <c r="K10" s="13"/>
      <c r="L10" s="13"/>
      <c r="AA10" s="1" t="s">
        <v>11</v>
      </c>
      <c r="AB10" s="3"/>
    </row>
    <row r="11" spans="2:28" ht="15.75">
      <c r="B11" s="27"/>
      <c r="C11" s="79"/>
      <c r="D11" s="27"/>
      <c r="H11" s="65"/>
      <c r="I11" s="71"/>
      <c r="K11" s="3"/>
      <c r="AA11" s="1" t="s">
        <v>58</v>
      </c>
      <c r="AB11" s="66">
        <f>IF(AB3^2/(AB1*AB5)&lt;1,1,0)</f>
        <v>0</v>
      </c>
    </row>
    <row r="12" spans="2:11" ht="2.25" customHeight="1">
      <c r="B12" s="13"/>
      <c r="C12" s="13"/>
      <c r="D12" s="13"/>
      <c r="K12" s="2"/>
    </row>
    <row r="13" spans="9:28" ht="15.75">
      <c r="I13" s="71"/>
      <c r="K13" s="2"/>
      <c r="U13" s="67"/>
      <c r="V13" s="16" t="s">
        <v>59</v>
      </c>
      <c r="AA13" s="1" t="s">
        <v>73</v>
      </c>
      <c r="AB13" s="3">
        <f>2*PI()*AB1/AB3</f>
        <v>1.9634954084936207</v>
      </c>
    </row>
    <row r="14" spans="21:28" ht="15.75">
      <c r="U14" s="61">
        <v>1</v>
      </c>
      <c r="V14" s="18">
        <v>1</v>
      </c>
      <c r="AA14" s="2" t="s">
        <v>50</v>
      </c>
      <c r="AB14" s="58">
        <f>1/AB13</f>
        <v>0.5092958178940651</v>
      </c>
    </row>
    <row r="15" spans="21:28" ht="15.75">
      <c r="U15" s="61">
        <v>2</v>
      </c>
      <c r="V15" s="18">
        <v>2</v>
      </c>
      <c r="AA15" s="68" t="s">
        <v>61</v>
      </c>
      <c r="AB15" s="3">
        <f>2*PI()/AB13</f>
        <v>3.2</v>
      </c>
    </row>
    <row r="16" spans="21:29" ht="15.75">
      <c r="U16" s="61">
        <v>3</v>
      </c>
      <c r="V16" s="18">
        <v>5</v>
      </c>
      <c r="AA16" s="2" t="s">
        <v>78</v>
      </c>
      <c r="AB16" s="3">
        <f>AB15*U1-PI()/2</f>
        <v>-1.5707963267948966</v>
      </c>
      <c r="AC16" s="84">
        <f>AB16/PI()*180</f>
        <v>-90</v>
      </c>
    </row>
    <row r="17" spans="21:28" ht="15.75">
      <c r="U17" s="61">
        <v>4</v>
      </c>
      <c r="V17" s="18">
        <v>10</v>
      </c>
      <c r="Z17" s="1" t="s">
        <v>60</v>
      </c>
      <c r="AA17" s="14" t="s">
        <v>5</v>
      </c>
      <c r="AB17" s="14" t="s">
        <v>6</v>
      </c>
    </row>
    <row r="18" spans="21:28" ht="15.75">
      <c r="U18" s="61">
        <v>5</v>
      </c>
      <c r="V18" s="18">
        <v>20</v>
      </c>
      <c r="AA18" s="20">
        <f>IF(AB11=0,100,AB1*COS(AB7))</f>
        <v>100</v>
      </c>
      <c r="AB18" s="20">
        <f>IF(AB11=0,100,AB1*SIN(AB7))</f>
        <v>100</v>
      </c>
    </row>
    <row r="19" spans="21:28" ht="15.75">
      <c r="U19" s="61">
        <v>6</v>
      </c>
      <c r="V19" s="18">
        <v>50</v>
      </c>
      <c r="AA19" s="1" t="s">
        <v>67</v>
      </c>
      <c r="AB19" s="71" t="e">
        <f>(AB3*COS(AB7)+SQRT(AB3^2*COS(AB7)^2+2*AB5*(AB1*SIN(AB7)+-AB22)))/AB5+AB9</f>
        <v>#NUM!</v>
      </c>
    </row>
    <row r="20" spans="21:28" ht="15.75">
      <c r="U20" s="114">
        <v>3</v>
      </c>
      <c r="V20" s="19">
        <f>VLOOKUP(U20,U14:V19,2)</f>
        <v>5</v>
      </c>
      <c r="AA20" s="1" t="s">
        <v>68</v>
      </c>
      <c r="AB20" s="71" t="e">
        <f>AB19/V20</f>
        <v>#NUM!</v>
      </c>
    </row>
    <row r="21" spans="21:28" ht="15.75">
      <c r="U21" s="2" t="s">
        <v>87</v>
      </c>
      <c r="V21" s="107">
        <v>1</v>
      </c>
      <c r="AA21" s="1" t="s">
        <v>69</v>
      </c>
      <c r="AB21" s="71" t="e">
        <f>AA18-AB3*SIN(AB7)*(AB19-AB9)</f>
        <v>#NUM!</v>
      </c>
    </row>
    <row r="22" spans="21:28" ht="15.75">
      <c r="U22" s="2" t="s">
        <v>88</v>
      </c>
      <c r="V22" s="2">
        <f>IF(V21=1,0,100)</f>
        <v>0</v>
      </c>
      <c r="AA22" s="1" t="s">
        <v>70</v>
      </c>
      <c r="AB22" s="2">
        <v>-1.3</v>
      </c>
    </row>
    <row r="23" spans="21:34" ht="15.75">
      <c r="U23" s="2" t="s">
        <v>89</v>
      </c>
      <c r="V23" s="2">
        <f>IF(AB11=0,0,IF(AND(AB11=1,U1&gt;AB9),100,0))</f>
        <v>0</v>
      </c>
      <c r="AA23" s="15" t="s">
        <v>66</v>
      </c>
      <c r="AB23" s="74"/>
      <c r="AC23" s="67" t="s">
        <v>71</v>
      </c>
      <c r="AD23" s="78">
        <v>0.03</v>
      </c>
      <c r="AG23" s="1" t="s">
        <v>91</v>
      </c>
      <c r="AH23" s="4">
        <f>IF(AB11=0,AB13,AB19)</f>
        <v>1.9634954084936207</v>
      </c>
    </row>
    <row r="24" spans="22:34" ht="15.75">
      <c r="V24" s="14"/>
      <c r="W24" s="20"/>
      <c r="AA24" s="17" t="s">
        <v>5</v>
      </c>
      <c r="AB24" s="75" t="s">
        <v>6</v>
      </c>
      <c r="AC24" s="61" t="s">
        <v>5</v>
      </c>
      <c r="AD24" s="18" t="s">
        <v>6</v>
      </c>
      <c r="AH24" s="4"/>
    </row>
    <row r="25" spans="21:34" ht="15.75">
      <c r="U25" s="15" t="s">
        <v>65</v>
      </c>
      <c r="V25" s="16">
        <v>0.05</v>
      </c>
      <c r="W25" s="14"/>
      <c r="AA25" s="59">
        <f>IF(AB25&lt;=AB22,AB21,IF(AB11=0,AB1*COS(AB15*U1-PI()/2),IF(AND(AB11=1,AB15*U1-PI()/2&gt;AB7,U1&gt;AB9),AB1*COS(AB7)-AB3*SIN(AB7)*(U1-AB9),AB1*COS(AB15*U1-PI()/2))))</f>
        <v>6.1257422745431E-17</v>
      </c>
      <c r="AB25" s="76">
        <f>MAX(AB22,IF(AB11=0,AB1*SIN(AB15*U1-PI()/2),IF(AND(AB11=1,AB15*U1-PI()/2&gt;AB7,U1&gt;AB9),AB1*SIN(AB7)+AB3*COS(AB7)*(U1-AB9)-0.5*AB5*(U1-AB9)^2,AB1*SIN(AB15*U1-PI()/2))))</f>
        <v>-1</v>
      </c>
      <c r="AC25" s="69">
        <f>($AB$1-$AD$23)*COS($AB$15*U1-PI()/2)</f>
        <v>5.941970006306807E-17</v>
      </c>
      <c r="AD25" s="72">
        <f>($AB$1-$AD$23)*SIN($AB$15*U1-PI()/2)</f>
        <v>-0.97</v>
      </c>
      <c r="AG25" s="1" t="s">
        <v>12</v>
      </c>
      <c r="AH25" s="1">
        <f>AH23/50</f>
        <v>0.039269908169872414</v>
      </c>
    </row>
    <row r="26" spans="10:36" ht="15.75">
      <c r="J26" s="39"/>
      <c r="U26" s="61" t="s">
        <v>5</v>
      </c>
      <c r="V26" s="18" t="s">
        <v>6</v>
      </c>
      <c r="W26" s="14"/>
      <c r="AA26" s="15" t="s">
        <v>51</v>
      </c>
      <c r="AB26" s="77"/>
      <c r="AC26" s="70">
        <v>0</v>
      </c>
      <c r="AD26" s="60">
        <v>0</v>
      </c>
      <c r="AG26" s="1" t="s">
        <v>94</v>
      </c>
      <c r="AI26" s="115">
        <v>1</v>
      </c>
      <c r="AJ26" s="13"/>
    </row>
    <row r="27" spans="10:36" ht="15.75">
      <c r="J27" s="3"/>
      <c r="U27" s="85">
        <f>AB1*COS(AB15*U1-PI()/2)</f>
        <v>6.1257422745431E-17</v>
      </c>
      <c r="V27" s="86">
        <f>AB1*SIN(AB15*U1-PI()/2)</f>
        <v>-1</v>
      </c>
      <c r="W27" s="20"/>
      <c r="AA27" s="61" t="s">
        <v>5</v>
      </c>
      <c r="AB27" s="18" t="s">
        <v>6</v>
      </c>
      <c r="AE27" s="80"/>
      <c r="AG27" s="6" t="s">
        <v>4</v>
      </c>
      <c r="AH27" s="1" t="s">
        <v>7</v>
      </c>
      <c r="AI27" s="1" t="s">
        <v>5</v>
      </c>
      <c r="AJ27" s="1" t="s">
        <v>6</v>
      </c>
    </row>
    <row r="28" spans="21:33" ht="15.75">
      <c r="U28" s="91" t="s">
        <v>79</v>
      </c>
      <c r="V28" s="102">
        <f>C7*AB5</f>
        <v>0.0981</v>
      </c>
      <c r="AA28" s="62">
        <f>-AB1</f>
        <v>-1</v>
      </c>
      <c r="AB28" s="63">
        <f>AA28</f>
        <v>-1</v>
      </c>
      <c r="AG28" s="6"/>
    </row>
    <row r="29" spans="21:36" ht="15.75">
      <c r="U29" s="87" t="s">
        <v>80</v>
      </c>
      <c r="V29" s="88">
        <v>2</v>
      </c>
      <c r="AA29" s="62">
        <f>AB1</f>
        <v>1</v>
      </c>
      <c r="AB29" s="63">
        <f>AB28</f>
        <v>-1</v>
      </c>
      <c r="AF29" s="5"/>
      <c r="AG29" s="6">
        <v>0</v>
      </c>
      <c r="AH29" s="110">
        <f>MIN(AG29*$AH$25,$U$1)</f>
        <v>0</v>
      </c>
      <c r="AI29" s="7">
        <f>IF($AI$26=0,100,IF($AB$11=0,$AB$1*COS($AB$15*AH29-PI()/2),IF($AB$11=1,IF(AH29&lt;$AB$9,$AB$1*COS($AB$15*AH29-PI()/2),$AB$1*COS($AB$7)-$AB$3*SIN($AB$7)*(AH29-$AB$9)))))</f>
        <v>6.1257422745431E-17</v>
      </c>
      <c r="AJ29" s="7">
        <f>IF($AB$11=0,$AB$1*SIN($AB$15*AH29-PI()/2),IF($AB$11=1,IF(AH29&lt;$AB$9,$AB$1*SIN($AB$15*AH29-PI()/2),$AB$1*SIN($AB$7)+$AB$3*COS($AB$7)*(AH29-$AB$9)-0.5*$AB$5*(AH29-$AB$9)^2)))</f>
        <v>-1</v>
      </c>
    </row>
    <row r="30" spans="21:36" ht="15.75">
      <c r="U30" s="61" t="s">
        <v>75</v>
      </c>
      <c r="V30" s="18">
        <f>V28*V29</f>
        <v>0.1962</v>
      </c>
      <c r="AA30" s="62">
        <f>AB1</f>
        <v>1</v>
      </c>
      <c r="AB30" s="63">
        <f>AA30</f>
        <v>1</v>
      </c>
      <c r="AF30" s="5"/>
      <c r="AG30" s="6">
        <v>1</v>
      </c>
      <c r="AH30" s="110">
        <f aca="true" t="shared" si="0" ref="AH30:AH79">MIN(AG30*$AH$25,$U$1)</f>
        <v>0</v>
      </c>
      <c r="AI30" s="7">
        <f aca="true" t="shared" si="1" ref="AI30:AI79">IF($AI$26=0,100,IF($AB$11=0,$AB$1*COS($AB$15*AH30-PI()/2),IF($AB$11=1,IF(AH30&lt;$AB$9,$AB$1*COS($AB$15*AH30-PI()/2),$AB$1*COS($AB$7)-$AB$3*SIN($AB$7)*(AH30-$AB$9)))))</f>
        <v>6.1257422745431E-17</v>
      </c>
      <c r="AJ30" s="7">
        <f aca="true" t="shared" si="2" ref="AJ30:AJ79">IF($AB$11=0,$AB$1*SIN($AB$15*AH30-PI()/2),IF($AB$11=1,IF(AH30&lt;$AB$9,$AB$1*SIN($AB$15*AH30-PI()/2),$AB$1*SIN($AB$7)+$AB$3*COS($AB$7)*(AH30-$AB$9)-0.5*$AB$5*(AH30-$AB$9)^2)))</f>
        <v>-1</v>
      </c>
    </row>
    <row r="31" spans="21:36" ht="15.75">
      <c r="U31" s="87" t="s">
        <v>76</v>
      </c>
      <c r="V31" s="92">
        <v>0.075</v>
      </c>
      <c r="AA31" s="62">
        <f>-AB1</f>
        <v>-1</v>
      </c>
      <c r="AB31" s="63">
        <f>AB30</f>
        <v>1</v>
      </c>
      <c r="AF31" s="5"/>
      <c r="AG31" s="6">
        <v>2</v>
      </c>
      <c r="AH31" s="110">
        <f t="shared" si="0"/>
        <v>0</v>
      </c>
      <c r="AI31" s="7">
        <f t="shared" si="1"/>
        <v>6.1257422745431E-17</v>
      </c>
      <c r="AJ31" s="7">
        <f t="shared" si="2"/>
        <v>-1</v>
      </c>
    </row>
    <row r="32" spans="21:36" ht="15.75">
      <c r="U32" s="87" t="s">
        <v>77</v>
      </c>
      <c r="V32" s="92">
        <v>0.0375</v>
      </c>
      <c r="AA32" s="62">
        <f>-AB1</f>
        <v>-1</v>
      </c>
      <c r="AB32" s="63">
        <f>AB31</f>
        <v>1</v>
      </c>
      <c r="AF32" s="5"/>
      <c r="AG32" s="6">
        <v>3</v>
      </c>
      <c r="AH32" s="110">
        <f t="shared" si="0"/>
        <v>0</v>
      </c>
      <c r="AI32" s="7">
        <f t="shared" si="1"/>
        <v>6.1257422745431E-17</v>
      </c>
      <c r="AJ32" s="7">
        <f t="shared" si="2"/>
        <v>-1</v>
      </c>
    </row>
    <row r="33" spans="21:36" ht="15.75">
      <c r="U33" s="61" t="s">
        <v>82</v>
      </c>
      <c r="V33" s="92">
        <f>SQRT(V31^2+(V32/2)^2)</f>
        <v>0.07730823048033114</v>
      </c>
      <c r="AA33" s="59">
        <f>-AB1</f>
        <v>-1</v>
      </c>
      <c r="AB33" s="64">
        <f>AA33</f>
        <v>-1</v>
      </c>
      <c r="AF33" s="5"/>
      <c r="AG33" s="6">
        <v>4</v>
      </c>
      <c r="AH33" s="110">
        <f t="shared" si="0"/>
        <v>0</v>
      </c>
      <c r="AI33" s="7">
        <f t="shared" si="1"/>
        <v>6.1257422745431E-17</v>
      </c>
      <c r="AJ33" s="7">
        <f t="shared" si="2"/>
        <v>-1</v>
      </c>
    </row>
    <row r="34" spans="21:36" ht="15.75">
      <c r="U34" s="61" t="s">
        <v>83</v>
      </c>
      <c r="V34" s="92">
        <f>ASIN(V32/2/V33)</f>
        <v>0.24497866312686412</v>
      </c>
      <c r="AA34" s="1" t="s">
        <v>52</v>
      </c>
      <c r="AF34" s="5"/>
      <c r="AG34" s="6">
        <v>5</v>
      </c>
      <c r="AH34" s="110">
        <f t="shared" si="0"/>
        <v>0</v>
      </c>
      <c r="AI34" s="7">
        <f t="shared" si="1"/>
        <v>6.1257422745431E-17</v>
      </c>
      <c r="AJ34" s="7">
        <f t="shared" si="2"/>
        <v>-1</v>
      </c>
    </row>
    <row r="35" spans="21:36" ht="15.75">
      <c r="U35" s="61" t="s">
        <v>5</v>
      </c>
      <c r="V35" s="18" t="s">
        <v>6</v>
      </c>
      <c r="AA35" s="1" t="s">
        <v>53</v>
      </c>
      <c r="AB35" s="1">
        <v>10</v>
      </c>
      <c r="AF35" s="5"/>
      <c r="AG35" s="6">
        <v>6</v>
      </c>
      <c r="AH35" s="110">
        <f t="shared" si="0"/>
        <v>0</v>
      </c>
      <c r="AI35" s="7">
        <f t="shared" si="1"/>
        <v>6.1257422745431E-17</v>
      </c>
      <c r="AJ35" s="7">
        <f t="shared" si="2"/>
        <v>-1</v>
      </c>
    </row>
    <row r="36" spans="21:36" ht="15.75">
      <c r="U36" s="62">
        <f>AA25+V22</f>
        <v>6.1257422745431E-17</v>
      </c>
      <c r="V36" s="63">
        <f>AB25</f>
        <v>-1</v>
      </c>
      <c r="Z36" s="14"/>
      <c r="AA36" s="14" t="s">
        <v>5</v>
      </c>
      <c r="AB36" s="14" t="s">
        <v>6</v>
      </c>
      <c r="AF36" s="5"/>
      <c r="AG36" s="6">
        <v>7</v>
      </c>
      <c r="AH36" s="110">
        <f t="shared" si="0"/>
        <v>0</v>
      </c>
      <c r="AI36" s="7">
        <f t="shared" si="1"/>
        <v>6.1257422745431E-17</v>
      </c>
      <c r="AJ36" s="7">
        <f t="shared" si="2"/>
        <v>-1</v>
      </c>
    </row>
    <row r="37" spans="21:36" ht="15.75">
      <c r="U37" s="62">
        <f>U36</f>
        <v>6.1257422745431E-17</v>
      </c>
      <c r="V37" s="63">
        <f>AB25-V30</f>
        <v>-1.1962</v>
      </c>
      <c r="Z37" s="14">
        <v>0</v>
      </c>
      <c r="AA37" s="14">
        <f aca="true" t="shared" si="3" ref="AA37:AA73">$AB$1*COS(Z37*$AB$35/180*PI())</f>
        <v>1</v>
      </c>
      <c r="AB37" s="20">
        <f aca="true" t="shared" si="4" ref="AB37:AB73">$AB$1*SIN(Z37*$AB$35/180*PI())</f>
        <v>0</v>
      </c>
      <c r="AF37" s="5"/>
      <c r="AG37" s="6">
        <v>8</v>
      </c>
      <c r="AH37" s="110">
        <f t="shared" si="0"/>
        <v>0</v>
      </c>
      <c r="AI37" s="7">
        <f t="shared" si="1"/>
        <v>6.1257422745431E-17</v>
      </c>
      <c r="AJ37" s="7">
        <f t="shared" si="2"/>
        <v>-1</v>
      </c>
    </row>
    <row r="38" spans="21:36" ht="15.75">
      <c r="U38" s="62">
        <f>U36-V32/2</f>
        <v>-0.018749999999999937</v>
      </c>
      <c r="V38" s="63">
        <f>V37+V31</f>
        <v>-1.1212</v>
      </c>
      <c r="Z38" s="14">
        <v>1</v>
      </c>
      <c r="AA38" s="20">
        <f t="shared" si="3"/>
        <v>0.984807753012208</v>
      </c>
      <c r="AB38" s="20">
        <f t="shared" si="4"/>
        <v>0.17364817766693033</v>
      </c>
      <c r="AF38" s="5"/>
      <c r="AG38" s="6">
        <v>9</v>
      </c>
      <c r="AH38" s="110">
        <f t="shared" si="0"/>
        <v>0</v>
      </c>
      <c r="AI38" s="7">
        <f t="shared" si="1"/>
        <v>6.1257422745431E-17</v>
      </c>
      <c r="AJ38" s="7">
        <f t="shared" si="2"/>
        <v>-1</v>
      </c>
    </row>
    <row r="39" spans="21:36" ht="15.75">
      <c r="U39" s="62">
        <f>U36</f>
        <v>6.1257422745431E-17</v>
      </c>
      <c r="V39" s="63">
        <f>V37</f>
        <v>-1.1962</v>
      </c>
      <c r="Z39" s="14">
        <v>2</v>
      </c>
      <c r="AA39" s="20">
        <f t="shared" si="3"/>
        <v>0.9396926207859084</v>
      </c>
      <c r="AB39" s="20">
        <f t="shared" si="4"/>
        <v>0.3420201433256687</v>
      </c>
      <c r="AF39" s="5"/>
      <c r="AG39" s="6">
        <v>10</v>
      </c>
      <c r="AH39" s="110">
        <f t="shared" si="0"/>
        <v>0</v>
      </c>
      <c r="AI39" s="7">
        <f t="shared" si="1"/>
        <v>6.1257422745431E-17</v>
      </c>
      <c r="AJ39" s="7">
        <f t="shared" si="2"/>
        <v>-1</v>
      </c>
    </row>
    <row r="40" spans="21:36" ht="15.75">
      <c r="U40" s="59">
        <f>U36+V32/2</f>
        <v>0.018750000000000062</v>
      </c>
      <c r="V40" s="64">
        <f>V39+V31</f>
        <v>-1.1212</v>
      </c>
      <c r="Z40" s="14">
        <v>3</v>
      </c>
      <c r="AA40" s="20">
        <f t="shared" si="3"/>
        <v>0.8660254037844387</v>
      </c>
      <c r="AB40" s="20">
        <f t="shared" si="4"/>
        <v>0.49999999999999994</v>
      </c>
      <c r="AF40" s="5"/>
      <c r="AG40" s="6">
        <v>11</v>
      </c>
      <c r="AH40" s="110">
        <f t="shared" si="0"/>
        <v>0</v>
      </c>
      <c r="AI40" s="7">
        <f t="shared" si="1"/>
        <v>6.1257422745431E-17</v>
      </c>
      <c r="AJ40" s="7">
        <f t="shared" si="2"/>
        <v>-1</v>
      </c>
    </row>
    <row r="41" spans="21:36" ht="15.75">
      <c r="U41" s="90" t="s">
        <v>81</v>
      </c>
      <c r="V41" s="103">
        <f>C7*AB3^2/AB1</f>
        <v>0.10240000000000002</v>
      </c>
      <c r="Z41" s="14">
        <v>4</v>
      </c>
      <c r="AA41" s="20">
        <f t="shared" si="3"/>
        <v>0.766044443118978</v>
      </c>
      <c r="AB41" s="20">
        <f t="shared" si="4"/>
        <v>0.6427876096865393</v>
      </c>
      <c r="AF41" s="5"/>
      <c r="AG41" s="6">
        <v>12</v>
      </c>
      <c r="AH41" s="110">
        <f t="shared" si="0"/>
        <v>0</v>
      </c>
      <c r="AI41" s="7">
        <f t="shared" si="1"/>
        <v>6.1257422745431E-17</v>
      </c>
      <c r="AJ41" s="7">
        <f t="shared" si="2"/>
        <v>-1</v>
      </c>
    </row>
    <row r="42" spans="21:36" ht="15.75">
      <c r="U42" s="61"/>
      <c r="V42" s="18"/>
      <c r="Z42" s="14">
        <v>5</v>
      </c>
      <c r="AA42" s="20">
        <f t="shared" si="3"/>
        <v>0.6427876096865394</v>
      </c>
      <c r="AB42" s="20">
        <f t="shared" si="4"/>
        <v>0.766044443118978</v>
      </c>
      <c r="AF42" s="5"/>
      <c r="AG42" s="6">
        <v>13</v>
      </c>
      <c r="AH42" s="110">
        <f t="shared" si="0"/>
        <v>0</v>
      </c>
      <c r="AI42" s="7">
        <f t="shared" si="1"/>
        <v>6.1257422745431E-17</v>
      </c>
      <c r="AJ42" s="7">
        <f t="shared" si="2"/>
        <v>-1</v>
      </c>
    </row>
    <row r="43" spans="21:36" ht="15.75">
      <c r="U43" s="61"/>
      <c r="V43" s="93"/>
      <c r="Z43" s="14">
        <v>6</v>
      </c>
      <c r="AA43" s="20">
        <f t="shared" si="3"/>
        <v>0.5000000000000001</v>
      </c>
      <c r="AB43" s="20">
        <f t="shared" si="4"/>
        <v>0.8660254037844386</v>
      </c>
      <c r="AF43" s="5"/>
      <c r="AG43" s="6">
        <v>14</v>
      </c>
      <c r="AH43" s="110">
        <f t="shared" si="0"/>
        <v>0</v>
      </c>
      <c r="AI43" s="7">
        <f t="shared" si="1"/>
        <v>6.1257422745431E-17</v>
      </c>
      <c r="AJ43" s="7">
        <f t="shared" si="2"/>
        <v>-1</v>
      </c>
    </row>
    <row r="44" spans="21:36" ht="15.75">
      <c r="U44" s="87" t="s">
        <v>75</v>
      </c>
      <c r="V44" s="94">
        <f>V41*V29</f>
        <v>0.20480000000000004</v>
      </c>
      <c r="Z44" s="14">
        <v>7</v>
      </c>
      <c r="AA44" s="20">
        <f t="shared" si="3"/>
        <v>0.3420201433256688</v>
      </c>
      <c r="AB44" s="20">
        <f t="shared" si="4"/>
        <v>0.9396926207859083</v>
      </c>
      <c r="AF44" s="5"/>
      <c r="AG44" s="6">
        <v>15</v>
      </c>
      <c r="AH44" s="110">
        <f t="shared" si="0"/>
        <v>0</v>
      </c>
      <c r="AI44" s="7">
        <f t="shared" si="1"/>
        <v>6.1257422745431E-17</v>
      </c>
      <c r="AJ44" s="7">
        <f t="shared" si="2"/>
        <v>-1</v>
      </c>
    </row>
    <row r="45" spans="21:36" ht="15.75">
      <c r="U45" s="61" t="s">
        <v>76</v>
      </c>
      <c r="V45" s="97">
        <v>0.1</v>
      </c>
      <c r="Z45" s="14">
        <v>8</v>
      </c>
      <c r="AA45" s="20">
        <f t="shared" si="3"/>
        <v>0.17364817766693041</v>
      </c>
      <c r="AB45" s="20">
        <f t="shared" si="4"/>
        <v>0.984807753012208</v>
      </c>
      <c r="AF45" s="5"/>
      <c r="AG45" s="6">
        <v>16</v>
      </c>
      <c r="AH45" s="110">
        <f t="shared" si="0"/>
        <v>0</v>
      </c>
      <c r="AI45" s="7">
        <f t="shared" si="1"/>
        <v>6.1257422745431E-17</v>
      </c>
      <c r="AJ45" s="7">
        <f t="shared" si="2"/>
        <v>-1</v>
      </c>
    </row>
    <row r="46" spans="21:36" ht="15.75">
      <c r="U46" s="61" t="s">
        <v>77</v>
      </c>
      <c r="V46" s="18">
        <v>0.05</v>
      </c>
      <c r="Z46" s="14">
        <v>9</v>
      </c>
      <c r="AA46" s="20">
        <f t="shared" si="3"/>
        <v>6.1257422745431E-17</v>
      </c>
      <c r="AB46" s="20">
        <f t="shared" si="4"/>
        <v>1</v>
      </c>
      <c r="AF46" s="5"/>
      <c r="AG46" s="6">
        <v>17</v>
      </c>
      <c r="AH46" s="110">
        <f t="shared" si="0"/>
        <v>0</v>
      </c>
      <c r="AI46" s="7">
        <f t="shared" si="1"/>
        <v>6.1257422745431E-17</v>
      </c>
      <c r="AJ46" s="7">
        <f t="shared" si="2"/>
        <v>-1</v>
      </c>
    </row>
    <row r="47" spans="21:36" ht="15.75">
      <c r="U47" s="61" t="s">
        <v>5</v>
      </c>
      <c r="V47" s="18" t="s">
        <v>6</v>
      </c>
      <c r="Z47" s="14">
        <v>10</v>
      </c>
      <c r="AA47" s="20">
        <f t="shared" si="3"/>
        <v>-0.1736481776669303</v>
      </c>
      <c r="AB47" s="20">
        <f t="shared" si="4"/>
        <v>0.984807753012208</v>
      </c>
      <c r="AF47" s="5"/>
      <c r="AG47" s="6">
        <v>18</v>
      </c>
      <c r="AH47" s="110">
        <f t="shared" si="0"/>
        <v>0</v>
      </c>
      <c r="AI47" s="7">
        <f t="shared" si="1"/>
        <v>6.1257422745431E-17</v>
      </c>
      <c r="AJ47" s="7">
        <f t="shared" si="2"/>
        <v>-1</v>
      </c>
    </row>
    <row r="48" spans="21:36" ht="15.75">
      <c r="U48" s="95">
        <f>AA25+V22+V23</f>
        <v>6.1257422745431E-17</v>
      </c>
      <c r="V48" s="96">
        <f>AB25</f>
        <v>-1</v>
      </c>
      <c r="Z48" s="14">
        <v>11</v>
      </c>
      <c r="AA48" s="20">
        <f t="shared" si="3"/>
        <v>-0.3420201433256687</v>
      </c>
      <c r="AB48" s="20">
        <f t="shared" si="4"/>
        <v>0.9396926207859084</v>
      </c>
      <c r="AF48" s="5"/>
      <c r="AG48" s="6">
        <v>19</v>
      </c>
      <c r="AH48" s="110">
        <f t="shared" si="0"/>
        <v>0</v>
      </c>
      <c r="AI48" s="7">
        <f t="shared" si="1"/>
        <v>6.1257422745431E-17</v>
      </c>
      <c r="AJ48" s="7">
        <f t="shared" si="2"/>
        <v>-1</v>
      </c>
    </row>
    <row r="49" spans="21:36" ht="15.75">
      <c r="U49" s="89">
        <f>V44*COS(AB16+PI())+U48</f>
        <v>7.380294292369527E-17</v>
      </c>
      <c r="V49" s="63">
        <f>V44*SIN(AB16+PI())+V48</f>
        <v>-0.7951999999999999</v>
      </c>
      <c r="Z49" s="14">
        <v>12</v>
      </c>
      <c r="AA49" s="20">
        <f t="shared" si="3"/>
        <v>-0.4999999999999998</v>
      </c>
      <c r="AB49" s="20">
        <f t="shared" si="4"/>
        <v>0.8660254037844387</v>
      </c>
      <c r="AF49" s="5"/>
      <c r="AG49" s="6">
        <v>20</v>
      </c>
      <c r="AH49" s="110">
        <f t="shared" si="0"/>
        <v>0</v>
      </c>
      <c r="AI49" s="7">
        <f t="shared" si="1"/>
        <v>6.1257422745431E-17</v>
      </c>
      <c r="AJ49" s="7">
        <f t="shared" si="2"/>
        <v>-1</v>
      </c>
    </row>
    <row r="50" spans="21:36" ht="15.75">
      <c r="U50" s="95">
        <f>U49+V33*COS(AB16-V34)</f>
        <v>-0.01874999999999993</v>
      </c>
      <c r="V50" s="99">
        <f>V49+V33*SIN(AB16-V34)</f>
        <v>-0.8701999999999999</v>
      </c>
      <c r="Z50" s="14">
        <v>13</v>
      </c>
      <c r="AA50" s="20">
        <f t="shared" si="3"/>
        <v>-0.6427876096865394</v>
      </c>
      <c r="AB50" s="20">
        <f t="shared" si="4"/>
        <v>0.766044443118978</v>
      </c>
      <c r="AF50" s="5"/>
      <c r="AG50" s="6">
        <v>21</v>
      </c>
      <c r="AH50" s="110">
        <f t="shared" si="0"/>
        <v>0</v>
      </c>
      <c r="AI50" s="7">
        <f t="shared" si="1"/>
        <v>6.1257422745431E-17</v>
      </c>
      <c r="AJ50" s="7">
        <f t="shared" si="2"/>
        <v>-1</v>
      </c>
    </row>
    <row r="51" spans="21:36" ht="15.75">
      <c r="U51" s="89">
        <f>U49</f>
        <v>7.380294292369527E-17</v>
      </c>
      <c r="V51" s="63">
        <f>V49</f>
        <v>-0.7951999999999999</v>
      </c>
      <c r="Z51" s="14">
        <v>14</v>
      </c>
      <c r="AA51" s="20">
        <f t="shared" si="3"/>
        <v>-0.7660444431189779</v>
      </c>
      <c r="AB51" s="20">
        <f t="shared" si="4"/>
        <v>0.6427876096865395</v>
      </c>
      <c r="AF51" s="5"/>
      <c r="AG51" s="6">
        <v>22</v>
      </c>
      <c r="AH51" s="110">
        <f t="shared" si="0"/>
        <v>0</v>
      </c>
      <c r="AI51" s="7">
        <f t="shared" si="1"/>
        <v>6.1257422745431E-17</v>
      </c>
      <c r="AJ51" s="7">
        <f t="shared" si="2"/>
        <v>-1</v>
      </c>
    </row>
    <row r="52" spans="21:36" ht="15.75">
      <c r="U52" s="100">
        <f>U49+V33*COS(AB16+V34)</f>
        <v>0.018750000000000086</v>
      </c>
      <c r="V52" s="101">
        <f>V49+V33*SIN(AB16+V34)</f>
        <v>-0.8701999999999999</v>
      </c>
      <c r="Z52" s="14">
        <v>15</v>
      </c>
      <c r="AA52" s="20">
        <f t="shared" si="3"/>
        <v>-0.8660254037844387</v>
      </c>
      <c r="AB52" s="20">
        <f t="shared" si="4"/>
        <v>0.49999999999999994</v>
      </c>
      <c r="AF52" s="5"/>
      <c r="AG52" s="6">
        <v>23</v>
      </c>
      <c r="AH52" s="110">
        <f t="shared" si="0"/>
        <v>0</v>
      </c>
      <c r="AI52" s="7">
        <f t="shared" si="1"/>
        <v>6.1257422745431E-17</v>
      </c>
      <c r="AJ52" s="7">
        <f t="shared" si="2"/>
        <v>-1</v>
      </c>
    </row>
    <row r="53" spans="21:36" ht="15.75">
      <c r="U53" s="104" t="s">
        <v>84</v>
      </c>
      <c r="V53" s="105">
        <f>SQRT((U37-U49)^2+(V49-V37)^2)/V29</f>
        <v>0.2005</v>
      </c>
      <c r="Z53" s="14">
        <v>16</v>
      </c>
      <c r="AA53" s="20">
        <f t="shared" si="3"/>
        <v>-0.9396926207859083</v>
      </c>
      <c r="AB53" s="20">
        <f t="shared" si="4"/>
        <v>0.3420201433256689</v>
      </c>
      <c r="AF53" s="5"/>
      <c r="AG53" s="6">
        <v>24</v>
      </c>
      <c r="AH53" s="110">
        <f t="shared" si="0"/>
        <v>0</v>
      </c>
      <c r="AI53" s="7">
        <f t="shared" si="1"/>
        <v>6.1257422745431E-17</v>
      </c>
      <c r="AJ53" s="7">
        <f t="shared" si="2"/>
        <v>-1</v>
      </c>
    </row>
    <row r="54" spans="21:36" ht="15.75">
      <c r="U54" s="61" t="s">
        <v>85</v>
      </c>
      <c r="V54" s="93">
        <f>IF(ISERROR(IF(AND(AA25&gt;=0,AB25&gt;-AB1),ATAN((V49-V37)/(U49-U37)),ATAN((V49-V37)/(U49-U37))+PI())),-PI()/2,IF(AND(AA25&gt;=0,AB25&gt;-AB1),ATAN((V49-V37)/(U49-U37)),ATAN((V49-V37)/(U49-U37))+PI()))</f>
        <v>4.71238898038469</v>
      </c>
      <c r="Z54" s="14">
        <v>17</v>
      </c>
      <c r="AA54" s="20">
        <f t="shared" si="3"/>
        <v>-0.984807753012208</v>
      </c>
      <c r="AB54" s="20">
        <f t="shared" si="4"/>
        <v>0.1736481776669307</v>
      </c>
      <c r="AF54" s="5"/>
      <c r="AG54" s="6">
        <v>25</v>
      </c>
      <c r="AH54" s="110">
        <f t="shared" si="0"/>
        <v>0</v>
      </c>
      <c r="AI54" s="7">
        <f t="shared" si="1"/>
        <v>6.1257422745431E-17</v>
      </c>
      <c r="AJ54" s="7">
        <f t="shared" si="2"/>
        <v>-1</v>
      </c>
    </row>
    <row r="55" spans="21:36" ht="15.75">
      <c r="U55" s="61"/>
      <c r="V55" s="93"/>
      <c r="Z55" s="14">
        <v>18</v>
      </c>
      <c r="AA55" s="20">
        <f t="shared" si="3"/>
        <v>-1</v>
      </c>
      <c r="AB55" s="20">
        <f t="shared" si="4"/>
        <v>1.22514845490862E-16</v>
      </c>
      <c r="AF55" s="5"/>
      <c r="AG55" s="6">
        <v>26</v>
      </c>
      <c r="AH55" s="110">
        <f t="shared" si="0"/>
        <v>0</v>
      </c>
      <c r="AI55" s="7">
        <f t="shared" si="1"/>
        <v>6.1257422745431E-17</v>
      </c>
      <c r="AJ55" s="7">
        <f t="shared" si="2"/>
        <v>-1</v>
      </c>
    </row>
    <row r="56" spans="21:36" ht="15.75">
      <c r="U56" s="87" t="s">
        <v>75</v>
      </c>
      <c r="V56" s="4">
        <f>V53*V29</f>
        <v>0.401</v>
      </c>
      <c r="Z56" s="14">
        <v>19</v>
      </c>
      <c r="AA56" s="20">
        <f t="shared" si="3"/>
        <v>-0.984807753012208</v>
      </c>
      <c r="AB56" s="20">
        <f t="shared" si="4"/>
        <v>-0.17364817766693047</v>
      </c>
      <c r="AF56" s="5"/>
      <c r="AG56" s="6">
        <v>27</v>
      </c>
      <c r="AH56" s="110">
        <f t="shared" si="0"/>
        <v>0</v>
      </c>
      <c r="AI56" s="7">
        <f t="shared" si="1"/>
        <v>6.1257422745431E-17</v>
      </c>
      <c r="AJ56" s="7">
        <f t="shared" si="2"/>
        <v>-1</v>
      </c>
    </row>
    <row r="57" spans="21:36" ht="15.75">
      <c r="U57" s="61" t="s">
        <v>82</v>
      </c>
      <c r="V57" s="97">
        <f>V33</f>
        <v>0.07730823048033114</v>
      </c>
      <c r="Z57" s="14">
        <v>20</v>
      </c>
      <c r="AA57" s="20">
        <f t="shared" si="3"/>
        <v>-0.9396926207859084</v>
      </c>
      <c r="AB57" s="20">
        <f t="shared" si="4"/>
        <v>-0.34202014332566866</v>
      </c>
      <c r="AF57" s="5"/>
      <c r="AG57" s="6">
        <v>28</v>
      </c>
      <c r="AH57" s="110">
        <f t="shared" si="0"/>
        <v>0</v>
      </c>
      <c r="AI57" s="7">
        <f t="shared" si="1"/>
        <v>6.1257422745431E-17</v>
      </c>
      <c r="AJ57" s="7">
        <f t="shared" si="2"/>
        <v>-1</v>
      </c>
    </row>
    <row r="58" spans="21:36" ht="15.75">
      <c r="U58" s="61"/>
      <c r="V58" s="18"/>
      <c r="Z58" s="14">
        <v>21</v>
      </c>
      <c r="AA58" s="20">
        <f t="shared" si="3"/>
        <v>-0.8660254037844386</v>
      </c>
      <c r="AB58" s="20">
        <f t="shared" si="4"/>
        <v>-0.5000000000000001</v>
      </c>
      <c r="AF58" s="5"/>
      <c r="AG58" s="6">
        <v>29</v>
      </c>
      <c r="AH58" s="110">
        <f t="shared" si="0"/>
        <v>0</v>
      </c>
      <c r="AI58" s="7">
        <f t="shared" si="1"/>
        <v>6.1257422745431E-17</v>
      </c>
      <c r="AJ58" s="7">
        <f t="shared" si="2"/>
        <v>-1</v>
      </c>
    </row>
    <row r="59" spans="21:36" ht="15.75">
      <c r="U59" s="61" t="s">
        <v>5</v>
      </c>
      <c r="V59" s="18" t="s">
        <v>6</v>
      </c>
      <c r="Z59" s="14">
        <v>22</v>
      </c>
      <c r="AA59" s="20">
        <f t="shared" si="3"/>
        <v>-0.766044443118978</v>
      </c>
      <c r="AB59" s="20">
        <f t="shared" si="4"/>
        <v>-0.6427876096865393</v>
      </c>
      <c r="AF59" s="5"/>
      <c r="AG59" s="6">
        <v>30</v>
      </c>
      <c r="AH59" s="110">
        <f t="shared" si="0"/>
        <v>0</v>
      </c>
      <c r="AI59" s="7">
        <f t="shared" si="1"/>
        <v>6.1257422745431E-17</v>
      </c>
      <c r="AJ59" s="7">
        <f t="shared" si="2"/>
        <v>-1</v>
      </c>
    </row>
    <row r="60" spans="21:36" ht="15.75">
      <c r="U60" s="95">
        <f>U48+V23</f>
        <v>6.1257422745431E-17</v>
      </c>
      <c r="V60" s="96">
        <f>V48</f>
        <v>-1</v>
      </c>
      <c r="Z60" s="14">
        <v>23</v>
      </c>
      <c r="AA60" s="20">
        <f t="shared" si="3"/>
        <v>-0.6427876096865395</v>
      </c>
      <c r="AB60" s="20">
        <f t="shared" si="4"/>
        <v>-0.7660444431189779</v>
      </c>
      <c r="AF60" s="5"/>
      <c r="AG60" s="6">
        <v>31</v>
      </c>
      <c r="AH60" s="110">
        <f t="shared" si="0"/>
        <v>0</v>
      </c>
      <c r="AI60" s="7">
        <f t="shared" si="1"/>
        <v>6.1257422745431E-17</v>
      </c>
      <c r="AJ60" s="7">
        <f t="shared" si="2"/>
        <v>-1</v>
      </c>
    </row>
    <row r="61" spans="21:36" ht="15.75">
      <c r="U61" s="89">
        <f>V56*COS(V54+PI())+U60</f>
        <v>1.8407855535002016E-16</v>
      </c>
      <c r="V61" s="63">
        <f>V56*SIN(V54+PI())+V60</f>
        <v>-0.599</v>
      </c>
      <c r="Z61" s="14">
        <v>24</v>
      </c>
      <c r="AA61" s="20">
        <f t="shared" si="3"/>
        <v>-0.5000000000000004</v>
      </c>
      <c r="AB61" s="20">
        <f t="shared" si="4"/>
        <v>-0.8660254037844384</v>
      </c>
      <c r="AF61" s="5"/>
      <c r="AG61" s="6">
        <v>32</v>
      </c>
      <c r="AH61" s="110">
        <f t="shared" si="0"/>
        <v>0</v>
      </c>
      <c r="AI61" s="7">
        <f t="shared" si="1"/>
        <v>6.1257422745431E-17</v>
      </c>
      <c r="AJ61" s="7">
        <f t="shared" si="2"/>
        <v>-1</v>
      </c>
    </row>
    <row r="62" spans="21:36" ht="15.75">
      <c r="U62" s="95">
        <f>U61+V57*COS(V54-V34)</f>
        <v>-0.018749999999999836</v>
      </c>
      <c r="V62" s="99">
        <f>V61+V57*SIN(V54-V34)</f>
        <v>-0.6739999999999999</v>
      </c>
      <c r="Z62" s="14">
        <v>25</v>
      </c>
      <c r="AA62" s="20">
        <f t="shared" si="3"/>
        <v>-0.3420201433256694</v>
      </c>
      <c r="AB62" s="20">
        <f t="shared" si="4"/>
        <v>-0.9396926207859082</v>
      </c>
      <c r="AF62" s="5"/>
      <c r="AG62" s="6">
        <v>33</v>
      </c>
      <c r="AH62" s="110">
        <f t="shared" si="0"/>
        <v>0</v>
      </c>
      <c r="AI62" s="7">
        <f t="shared" si="1"/>
        <v>6.1257422745431E-17</v>
      </c>
      <c r="AJ62" s="7">
        <f t="shared" si="2"/>
        <v>-1</v>
      </c>
    </row>
    <row r="63" spans="21:36" ht="15.75">
      <c r="U63" s="89">
        <f>U61</f>
        <v>1.8407855535002016E-16</v>
      </c>
      <c r="V63" s="63">
        <f>V61</f>
        <v>-0.599</v>
      </c>
      <c r="Z63" s="14">
        <v>26</v>
      </c>
      <c r="AA63" s="20">
        <f t="shared" si="3"/>
        <v>-0.17364817766693033</v>
      </c>
      <c r="AB63" s="20">
        <f t="shared" si="4"/>
        <v>-0.984807753012208</v>
      </c>
      <c r="AF63" s="5"/>
      <c r="AG63" s="6">
        <v>34</v>
      </c>
      <c r="AH63" s="110">
        <f t="shared" si="0"/>
        <v>0</v>
      </c>
      <c r="AI63" s="7">
        <f t="shared" si="1"/>
        <v>6.1257422745431E-17</v>
      </c>
      <c r="AJ63" s="7">
        <f t="shared" si="2"/>
        <v>-1</v>
      </c>
    </row>
    <row r="64" spans="21:36" ht="15.75">
      <c r="U64" s="100">
        <f>U61+V57*COS(V54+V34)</f>
        <v>0.018750000000000176</v>
      </c>
      <c r="V64" s="101">
        <f>V61+V57*SIN(V54+V34)</f>
        <v>-0.6739999999999999</v>
      </c>
      <c r="Z64" s="14">
        <v>27</v>
      </c>
      <c r="AA64" s="20">
        <f t="shared" si="3"/>
        <v>-1.83772268236293E-16</v>
      </c>
      <c r="AB64" s="20">
        <f t="shared" si="4"/>
        <v>-1</v>
      </c>
      <c r="AF64" s="5"/>
      <c r="AG64" s="6">
        <v>35</v>
      </c>
      <c r="AH64" s="110">
        <f t="shared" si="0"/>
        <v>0</v>
      </c>
      <c r="AI64" s="7">
        <f t="shared" si="1"/>
        <v>6.1257422745431E-17</v>
      </c>
      <c r="AJ64" s="7">
        <f t="shared" si="2"/>
        <v>-1</v>
      </c>
    </row>
    <row r="65" spans="21:36" ht="15.75">
      <c r="U65" s="67" t="s">
        <v>86</v>
      </c>
      <c r="V65" s="16"/>
      <c r="Z65" s="14">
        <v>28</v>
      </c>
      <c r="AA65" s="20">
        <f t="shared" si="3"/>
        <v>0.17364817766692997</v>
      </c>
      <c r="AB65" s="20">
        <f t="shared" si="4"/>
        <v>-0.9848077530122081</v>
      </c>
      <c r="AF65" s="5"/>
      <c r="AG65" s="6">
        <v>36</v>
      </c>
      <c r="AH65" s="110">
        <f t="shared" si="0"/>
        <v>0</v>
      </c>
      <c r="AI65" s="7">
        <f t="shared" si="1"/>
        <v>6.1257422745431E-17</v>
      </c>
      <c r="AJ65" s="7">
        <f t="shared" si="2"/>
        <v>-1</v>
      </c>
    </row>
    <row r="66" spans="21:36" ht="15.75">
      <c r="U66" s="61"/>
      <c r="V66" s="18"/>
      <c r="Z66" s="14">
        <v>29</v>
      </c>
      <c r="AA66" s="20">
        <f t="shared" si="3"/>
        <v>0.342020143325669</v>
      </c>
      <c r="AB66" s="20">
        <f t="shared" si="4"/>
        <v>-0.9396926207859083</v>
      </c>
      <c r="AF66" s="5"/>
      <c r="AG66" s="6">
        <v>37</v>
      </c>
      <c r="AH66" s="110">
        <f t="shared" si="0"/>
        <v>0</v>
      </c>
      <c r="AI66" s="7">
        <f t="shared" si="1"/>
        <v>6.1257422745431E-17</v>
      </c>
      <c r="AJ66" s="7">
        <f t="shared" si="2"/>
        <v>-1</v>
      </c>
    </row>
    <row r="67" spans="21:36" ht="15.75">
      <c r="U67" s="17" t="s">
        <v>5</v>
      </c>
      <c r="V67" s="111" t="s">
        <v>6</v>
      </c>
      <c r="Z67" s="14">
        <v>30</v>
      </c>
      <c r="AA67" s="20">
        <f t="shared" si="3"/>
        <v>0.5000000000000001</v>
      </c>
      <c r="AB67" s="20">
        <f t="shared" si="4"/>
        <v>-0.8660254037844386</v>
      </c>
      <c r="AF67" s="5"/>
      <c r="AG67" s="6">
        <v>38</v>
      </c>
      <c r="AH67" s="110">
        <f t="shared" si="0"/>
        <v>0</v>
      </c>
      <c r="AI67" s="7">
        <f t="shared" si="1"/>
        <v>6.1257422745431E-17</v>
      </c>
      <c r="AJ67" s="7">
        <f t="shared" si="2"/>
        <v>-1</v>
      </c>
    </row>
    <row r="68" spans="21:36" ht="15.75">
      <c r="U68" s="62">
        <f>U37+V23</f>
        <v>6.1257422745431E-17</v>
      </c>
      <c r="V68" s="63">
        <f>V37</f>
        <v>-1.1962</v>
      </c>
      <c r="Z68" s="14">
        <v>31</v>
      </c>
      <c r="AA68" s="20">
        <f t="shared" si="3"/>
        <v>0.6427876096865393</v>
      </c>
      <c r="AB68" s="20">
        <f t="shared" si="4"/>
        <v>-0.7660444431189781</v>
      </c>
      <c r="AF68" s="5"/>
      <c r="AG68" s="6">
        <v>39</v>
      </c>
      <c r="AH68" s="110">
        <f t="shared" si="0"/>
        <v>0</v>
      </c>
      <c r="AI68" s="7">
        <f t="shared" si="1"/>
        <v>6.1257422745431E-17</v>
      </c>
      <c r="AJ68" s="7">
        <f t="shared" si="2"/>
        <v>-1</v>
      </c>
    </row>
    <row r="69" spans="21:36" ht="15.75">
      <c r="U69" s="89">
        <f>U49</f>
        <v>7.380294292369527E-17</v>
      </c>
      <c r="V69" s="63">
        <f>V49</f>
        <v>-0.7951999999999999</v>
      </c>
      <c r="Z69" s="14">
        <v>32</v>
      </c>
      <c r="AA69" s="20">
        <f t="shared" si="3"/>
        <v>0.7660444431189778</v>
      </c>
      <c r="AB69" s="20">
        <f t="shared" si="4"/>
        <v>-0.6427876096865396</v>
      </c>
      <c r="AF69" s="5"/>
      <c r="AG69" s="6">
        <v>40</v>
      </c>
      <c r="AH69" s="110">
        <f t="shared" si="0"/>
        <v>0</v>
      </c>
      <c r="AI69" s="7">
        <f t="shared" si="1"/>
        <v>6.1257422745431E-17</v>
      </c>
      <c r="AJ69" s="7">
        <f t="shared" si="2"/>
        <v>-1</v>
      </c>
    </row>
    <row r="70" spans="21:36" ht="15.75">
      <c r="U70" s="112">
        <f>U61</f>
        <v>1.8407855535002016E-16</v>
      </c>
      <c r="V70" s="64">
        <f>V61</f>
        <v>-0.599</v>
      </c>
      <c r="Z70" s="14">
        <v>33</v>
      </c>
      <c r="AA70" s="20">
        <f t="shared" si="3"/>
        <v>0.8660254037844384</v>
      </c>
      <c r="AB70" s="20">
        <f t="shared" si="4"/>
        <v>-0.5000000000000004</v>
      </c>
      <c r="AF70" s="5"/>
      <c r="AG70" s="6">
        <v>41</v>
      </c>
      <c r="AH70" s="110">
        <f t="shared" si="0"/>
        <v>0</v>
      </c>
      <c r="AI70" s="7">
        <f t="shared" si="1"/>
        <v>6.1257422745431E-17</v>
      </c>
      <c r="AJ70" s="7">
        <f t="shared" si="2"/>
        <v>-1</v>
      </c>
    </row>
    <row r="71" spans="21:36" ht="15.75">
      <c r="U71" s="67" t="s">
        <v>92</v>
      </c>
      <c r="V71" s="16">
        <f>AB22</f>
        <v>-1.3</v>
      </c>
      <c r="Z71" s="14">
        <v>34</v>
      </c>
      <c r="AA71" s="20">
        <f t="shared" si="3"/>
        <v>0.9396926207859081</v>
      </c>
      <c r="AB71" s="20">
        <f t="shared" si="4"/>
        <v>-0.34202014332566943</v>
      </c>
      <c r="AF71" s="5"/>
      <c r="AG71" s="6">
        <v>42</v>
      </c>
      <c r="AH71" s="110">
        <f t="shared" si="0"/>
        <v>0</v>
      </c>
      <c r="AI71" s="7">
        <f t="shared" si="1"/>
        <v>6.1257422745431E-17</v>
      </c>
      <c r="AJ71" s="7">
        <f t="shared" si="2"/>
        <v>-1</v>
      </c>
    </row>
    <row r="72" spans="21:36" ht="15.75">
      <c r="U72" s="17" t="s">
        <v>5</v>
      </c>
      <c r="V72" s="111" t="s">
        <v>6</v>
      </c>
      <c r="Z72" s="14">
        <v>35</v>
      </c>
      <c r="AA72" s="20">
        <f t="shared" si="3"/>
        <v>0.984807753012208</v>
      </c>
      <c r="AB72" s="20">
        <f t="shared" si="4"/>
        <v>-0.1736481776669304</v>
      </c>
      <c r="AF72" s="5"/>
      <c r="AG72" s="6">
        <v>43</v>
      </c>
      <c r="AH72" s="110">
        <f t="shared" si="0"/>
        <v>0</v>
      </c>
      <c r="AI72" s="7">
        <f t="shared" si="1"/>
        <v>6.1257422745431E-17</v>
      </c>
      <c r="AJ72" s="7">
        <f t="shared" si="2"/>
        <v>-1</v>
      </c>
    </row>
    <row r="73" spans="21:36" ht="15.75">
      <c r="U73" s="17">
        <v>-2.5</v>
      </c>
      <c r="V73" s="111">
        <f>V71</f>
        <v>-1.3</v>
      </c>
      <c r="Z73" s="14">
        <v>36</v>
      </c>
      <c r="AA73" s="20">
        <f t="shared" si="3"/>
        <v>1</v>
      </c>
      <c r="AB73" s="20">
        <f t="shared" si="4"/>
        <v>-2.45029690981724E-16</v>
      </c>
      <c r="AF73" s="5"/>
      <c r="AG73" s="6">
        <v>44</v>
      </c>
      <c r="AH73" s="110">
        <f t="shared" si="0"/>
        <v>0</v>
      </c>
      <c r="AI73" s="7">
        <f t="shared" si="1"/>
        <v>6.1257422745431E-17</v>
      </c>
      <c r="AJ73" s="7">
        <f t="shared" si="2"/>
        <v>-1</v>
      </c>
    </row>
    <row r="74" spans="21:36" ht="15.75">
      <c r="U74" s="70">
        <v>1.1</v>
      </c>
      <c r="V74" s="60">
        <f>V71</f>
        <v>-1.3</v>
      </c>
      <c r="AF74" s="5"/>
      <c r="AG74" s="6">
        <v>45</v>
      </c>
      <c r="AH74" s="110">
        <f t="shared" si="0"/>
        <v>0</v>
      </c>
      <c r="AI74" s="7">
        <f t="shared" si="1"/>
        <v>6.1257422745431E-17</v>
      </c>
      <c r="AJ74" s="7">
        <f t="shared" si="2"/>
        <v>-1</v>
      </c>
    </row>
    <row r="75" spans="21:36" ht="15.75">
      <c r="U75" s="67" t="s">
        <v>93</v>
      </c>
      <c r="V75" s="16"/>
      <c r="AF75" s="5"/>
      <c r="AG75" s="6">
        <v>46</v>
      </c>
      <c r="AH75" s="110">
        <f t="shared" si="0"/>
        <v>0</v>
      </c>
      <c r="AI75" s="7">
        <f t="shared" si="1"/>
        <v>6.1257422745431E-17</v>
      </c>
      <c r="AJ75" s="7">
        <f t="shared" si="2"/>
        <v>-1</v>
      </c>
    </row>
    <row r="76" spans="21:36" ht="15.75">
      <c r="U76" s="61" t="s">
        <v>5</v>
      </c>
      <c r="V76" s="18" t="s">
        <v>6</v>
      </c>
      <c r="AF76" s="5"/>
      <c r="AG76" s="6">
        <v>47</v>
      </c>
      <c r="AH76" s="110">
        <f t="shared" si="0"/>
        <v>0</v>
      </c>
      <c r="AI76" s="7">
        <f t="shared" si="1"/>
        <v>6.1257422745431E-17</v>
      </c>
      <c r="AJ76" s="7">
        <f t="shared" si="2"/>
        <v>-1</v>
      </c>
    </row>
    <row r="77" spans="21:36" ht="15.75">
      <c r="U77" s="62">
        <f>IF(AND($V$21=1,$AB$25=$AB$22),$AB$21,100)</f>
        <v>100</v>
      </c>
      <c r="V77" s="111">
        <f>$AB$22</f>
        <v>-1.3</v>
      </c>
      <c r="AF77" s="5"/>
      <c r="AG77" s="6">
        <v>48</v>
      </c>
      <c r="AH77" s="110">
        <f t="shared" si="0"/>
        <v>0</v>
      </c>
      <c r="AI77" s="7">
        <f t="shared" si="1"/>
        <v>6.1257422745431E-17</v>
      </c>
      <c r="AJ77" s="7">
        <f t="shared" si="2"/>
        <v>-1</v>
      </c>
    </row>
    <row r="78" spans="21:36" ht="15.75">
      <c r="U78" s="62">
        <f>IF(AND($V$21=1,$AB$25=$AB$22),$AB$21,100)</f>
        <v>100</v>
      </c>
      <c r="V78" s="63">
        <f>$V$77+$V$30</f>
        <v>-1.1038000000000001</v>
      </c>
      <c r="AF78" s="5"/>
      <c r="AG78" s="6">
        <v>49</v>
      </c>
      <c r="AH78" s="110">
        <f t="shared" si="0"/>
        <v>0</v>
      </c>
      <c r="AI78" s="7">
        <f t="shared" si="1"/>
        <v>6.1257422745431E-17</v>
      </c>
      <c r="AJ78" s="7">
        <f t="shared" si="2"/>
        <v>-1</v>
      </c>
    </row>
    <row r="79" spans="21:36" ht="15.75">
      <c r="U79" s="62">
        <f>IF(AND($V$21=1,$AB$25=$AB$22),$AB$21+$V$32/2,100)</f>
        <v>100</v>
      </c>
      <c r="V79" s="63">
        <f>$V$77+$V$30-$V$31</f>
        <v>-1.1788</v>
      </c>
      <c r="AF79" s="5"/>
      <c r="AG79" s="6">
        <v>50</v>
      </c>
      <c r="AH79" s="110">
        <f t="shared" si="0"/>
        <v>0</v>
      </c>
      <c r="AI79" s="7">
        <f t="shared" si="1"/>
        <v>6.1257422745431E-17</v>
      </c>
      <c r="AJ79" s="7">
        <f t="shared" si="2"/>
        <v>-1</v>
      </c>
    </row>
    <row r="80" spans="21:22" ht="15.75">
      <c r="U80" s="62">
        <f>IF(AND($V$21=1,$AB$25=$AB$22),$AB$21,100)</f>
        <v>100</v>
      </c>
      <c r="V80" s="63">
        <f>$V$77+$V$30</f>
        <v>-1.1038000000000001</v>
      </c>
    </row>
    <row r="81" spans="21:22" ht="15.75">
      <c r="U81" s="59">
        <f>IF(AND($V$21=1,$AB$25=$AB$22),$AB$21-$V$32/2,100)</f>
        <v>100</v>
      </c>
      <c r="V81" s="63">
        <f>$V$77+$V$30-$V$31</f>
        <v>-1.1788</v>
      </c>
    </row>
  </sheetData>
  <sheetProtection password="DE47" sheet="1" objects="1" scenarios="1" selectLockedCells="1" selectUnlockedCells="1"/>
  <conditionalFormatting sqref="C5:D5">
    <cfRule type="expression" priority="1" dxfId="0" stopIfTrue="1">
      <formula>$AB$11=1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/>
  <dimension ref="B2:AD64"/>
  <sheetViews>
    <sheetView showGridLines="0" showRowColHeaders="0" showOutlineSymbols="0" workbookViewId="0" topLeftCell="A1">
      <pane xSplit="26" topLeftCell="AA1" activePane="topRight" state="frozen"/>
      <selection pane="topLeft" activeCell="A1" sqref="A1"/>
      <selection pane="topRight" activeCell="K9" sqref="K8:K9"/>
    </sheetView>
  </sheetViews>
  <sheetFormatPr defaultColWidth="9.140625" defaultRowHeight="12.75"/>
  <cols>
    <col min="1" max="1" width="4.57421875" style="36" customWidth="1"/>
    <col min="2" max="2" width="2.8515625" style="36" customWidth="1"/>
    <col min="3" max="3" width="12.00390625" style="36" customWidth="1"/>
    <col min="4" max="16384" width="9.140625" style="36" customWidth="1"/>
  </cols>
  <sheetData>
    <row r="2" ht="18.75">
      <c r="B2" s="43" t="s">
        <v>23</v>
      </c>
    </row>
    <row r="4" spans="2:3" ht="15.75">
      <c r="B4" s="46" t="s">
        <v>17</v>
      </c>
      <c r="C4" s="46" t="s">
        <v>41</v>
      </c>
    </row>
    <row r="5" spans="2:28" ht="15.75">
      <c r="B5" s="36" t="s">
        <v>16</v>
      </c>
      <c r="AA5" s="36" t="s">
        <v>0</v>
      </c>
      <c r="AB5" s="41">
        <f>C15</f>
        <v>4</v>
      </c>
    </row>
    <row r="6" spans="2:28" ht="16.5" thickBot="1">
      <c r="B6" s="40" t="s">
        <v>36</v>
      </c>
      <c r="C6" s="36" t="s">
        <v>18</v>
      </c>
      <c r="AA6" s="36" t="s">
        <v>8</v>
      </c>
      <c r="AB6" s="37">
        <v>9.81</v>
      </c>
    </row>
    <row r="7" spans="3:29" ht="18" thickBot="1">
      <c r="C7" s="42" t="s">
        <v>20</v>
      </c>
      <c r="AA7" s="36" t="s">
        <v>7</v>
      </c>
      <c r="AB7" s="36" t="s">
        <v>26</v>
      </c>
      <c r="AC7" s="36" t="s">
        <v>27</v>
      </c>
    </row>
    <row r="8" spans="3:30" ht="15.75">
      <c r="C8" s="36" t="s">
        <v>19</v>
      </c>
      <c r="AA8" s="41">
        <v>0</v>
      </c>
      <c r="AB8" s="41">
        <f aca="true" t="shared" si="0" ref="AB8:AB18">$AB$5*AA8</f>
        <v>0</v>
      </c>
      <c r="AC8" s="38">
        <f aca="true" t="shared" si="1" ref="AC8:AC18">0.5*$AB$6*AA8^2</f>
        <v>0</v>
      </c>
      <c r="AD8" s="39">
        <f>-AC8</f>
        <v>0</v>
      </c>
    </row>
    <row r="9" spans="2:30" ht="16.5" thickBot="1">
      <c r="B9" s="40" t="s">
        <v>36</v>
      </c>
      <c r="C9" s="36" t="s">
        <v>24</v>
      </c>
      <c r="AA9" s="41">
        <v>0.1</v>
      </c>
      <c r="AB9" s="41">
        <f t="shared" si="0"/>
        <v>0.4</v>
      </c>
      <c r="AC9" s="38">
        <f t="shared" si="1"/>
        <v>0.04905000000000001</v>
      </c>
      <c r="AD9" s="39">
        <f aca="true" t="shared" si="2" ref="AD9:AD14">-AC9</f>
        <v>-0.04905000000000001</v>
      </c>
    </row>
    <row r="10" spans="3:30" ht="19.5" thickBot="1">
      <c r="C10" s="42" t="s">
        <v>22</v>
      </c>
      <c r="AA10" s="41">
        <v>0.2</v>
      </c>
      <c r="AB10" s="41">
        <f t="shared" si="0"/>
        <v>0.8</v>
      </c>
      <c r="AC10" s="38">
        <f t="shared" si="1"/>
        <v>0.19620000000000004</v>
      </c>
      <c r="AD10" s="39">
        <f t="shared" si="2"/>
        <v>-0.19620000000000004</v>
      </c>
    </row>
    <row r="11" spans="3:30" ht="18.75">
      <c r="C11" s="36" t="s">
        <v>25</v>
      </c>
      <c r="AA11" s="41">
        <v>0.3</v>
      </c>
      <c r="AB11" s="41">
        <f t="shared" si="0"/>
        <v>1.2</v>
      </c>
      <c r="AC11" s="38">
        <f t="shared" si="1"/>
        <v>0.44145</v>
      </c>
      <c r="AD11" s="39">
        <f t="shared" si="2"/>
        <v>-0.44145</v>
      </c>
    </row>
    <row r="12" spans="27:30" ht="15.75">
      <c r="AA12" s="41">
        <v>0.4</v>
      </c>
      <c r="AB12" s="41">
        <f t="shared" si="0"/>
        <v>1.6</v>
      </c>
      <c r="AC12" s="38">
        <f t="shared" si="1"/>
        <v>0.7848000000000002</v>
      </c>
      <c r="AD12" s="39">
        <f t="shared" si="2"/>
        <v>-0.7848000000000002</v>
      </c>
    </row>
    <row r="13" spans="2:30" ht="15.75">
      <c r="B13" s="35">
        <v>2</v>
      </c>
      <c r="C13" s="46" t="s">
        <v>29</v>
      </c>
      <c r="AA13" s="41">
        <v>0.5</v>
      </c>
      <c r="AB13" s="41">
        <f t="shared" si="0"/>
        <v>2</v>
      </c>
      <c r="AC13" s="38">
        <f t="shared" si="1"/>
        <v>1.22625</v>
      </c>
      <c r="AD13" s="39">
        <f t="shared" si="2"/>
        <v>-1.22625</v>
      </c>
    </row>
    <row r="14" spans="3:30" ht="15.75">
      <c r="C14" s="36" t="s">
        <v>40</v>
      </c>
      <c r="AA14" s="41">
        <v>0.6</v>
      </c>
      <c r="AB14" s="41">
        <f t="shared" si="0"/>
        <v>2.4</v>
      </c>
      <c r="AC14" s="38">
        <f t="shared" si="1"/>
        <v>1.7658</v>
      </c>
      <c r="AD14" s="39">
        <f t="shared" si="2"/>
        <v>-1.7658</v>
      </c>
    </row>
    <row r="15" spans="3:30" ht="15.75">
      <c r="C15" s="47">
        <v>4</v>
      </c>
      <c r="D15" s="45" t="s">
        <v>2</v>
      </c>
      <c r="AA15" s="41">
        <v>0.7</v>
      </c>
      <c r="AB15" s="41">
        <f t="shared" si="0"/>
        <v>2.8</v>
      </c>
      <c r="AC15" s="38">
        <f t="shared" si="1"/>
        <v>2.40345</v>
      </c>
      <c r="AD15" s="39">
        <f>-AC15</f>
        <v>-2.40345</v>
      </c>
    </row>
    <row r="16" spans="3:30" ht="15.75">
      <c r="C16" s="36" t="s">
        <v>35</v>
      </c>
      <c r="AA16" s="41">
        <v>0.8</v>
      </c>
      <c r="AB16" s="41">
        <f t="shared" si="0"/>
        <v>3.2</v>
      </c>
      <c r="AC16" s="38">
        <f t="shared" si="1"/>
        <v>3.1392000000000007</v>
      </c>
      <c r="AD16" s="39">
        <f>-AC16</f>
        <v>-3.1392000000000007</v>
      </c>
    </row>
    <row r="17" spans="2:30" ht="15.75">
      <c r="B17" s="40" t="s">
        <v>36</v>
      </c>
      <c r="C17" s="36" t="s">
        <v>30</v>
      </c>
      <c r="AA17" s="41">
        <v>0.9</v>
      </c>
      <c r="AB17" s="41">
        <f t="shared" si="0"/>
        <v>3.6</v>
      </c>
      <c r="AC17" s="38">
        <f t="shared" si="1"/>
        <v>3.9730500000000006</v>
      </c>
      <c r="AD17" s="39">
        <f>-AC17</f>
        <v>-3.9730500000000006</v>
      </c>
    </row>
    <row r="18" spans="3:30" ht="18.75">
      <c r="C18" s="34" t="s">
        <v>31</v>
      </c>
      <c r="AA18" s="41">
        <v>1</v>
      </c>
      <c r="AB18" s="41">
        <f t="shared" si="0"/>
        <v>4</v>
      </c>
      <c r="AC18" s="38">
        <f t="shared" si="1"/>
        <v>4.905</v>
      </c>
      <c r="AD18" s="39">
        <f>-AC18</f>
        <v>-4.905</v>
      </c>
    </row>
    <row r="19" ht="18.75">
      <c r="C19" s="36" t="s">
        <v>32</v>
      </c>
    </row>
    <row r="20" ht="15.75">
      <c r="C20" s="36" t="s">
        <v>33</v>
      </c>
    </row>
    <row r="21" spans="2:3" ht="15.75">
      <c r="B21" s="40" t="s">
        <v>36</v>
      </c>
      <c r="C21" s="36" t="s">
        <v>34</v>
      </c>
    </row>
    <row r="22" ht="17.25">
      <c r="C22" s="34" t="s">
        <v>20</v>
      </c>
    </row>
    <row r="23" spans="3:7" ht="15.75">
      <c r="C23" s="49" t="s">
        <v>43</v>
      </c>
      <c r="D23" s="44">
        <f>C15</f>
        <v>4</v>
      </c>
      <c r="E23" s="36" t="s">
        <v>44</v>
      </c>
      <c r="F23" s="48">
        <f>D23*1</f>
        <v>4</v>
      </c>
      <c r="G23" s="36" t="s">
        <v>1</v>
      </c>
    </row>
    <row r="25" ht="15.75">
      <c r="C25" s="36" t="s">
        <v>37</v>
      </c>
    </row>
    <row r="43" ht="12" customHeight="1"/>
    <row r="44" ht="15.75">
      <c r="C44" s="36" t="s">
        <v>38</v>
      </c>
    </row>
    <row r="45" ht="15.75">
      <c r="C45" s="36" t="s">
        <v>39</v>
      </c>
    </row>
    <row r="46" ht="8.25" customHeight="1"/>
    <row r="64" spans="2:3" ht="17.25">
      <c r="B64" s="35" t="s">
        <v>28</v>
      </c>
      <c r="C64" s="46" t="s">
        <v>42</v>
      </c>
    </row>
  </sheetData>
  <sheetProtection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Tijmensen</cp:lastModifiedBy>
  <dcterms:created xsi:type="dcterms:W3CDTF">2006-10-06T13:18:05Z</dcterms:created>
  <dcterms:modified xsi:type="dcterms:W3CDTF">2009-12-20T12:26:06Z</dcterms:modified>
  <cp:category/>
  <cp:version/>
  <cp:contentType/>
  <cp:contentStatus/>
</cp:coreProperties>
</file>