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9200" windowHeight="12435" activeTab="0"/>
  </bookViews>
  <sheets>
    <sheet name="Menu" sheetId="1" r:id="rId1"/>
    <sheet name="Oefenen" sheetId="2" r:id="rId2"/>
    <sheet name="Proef" sheetId="3" r:id="rId3"/>
    <sheet name="Resultaten" sheetId="4" state="hidden" r:id="rId4"/>
  </sheets>
  <definedNames>
    <definedName name="_xlnm.Print_Area" localSheetId="1">'Oefenen'!$A$1:$K$46</definedName>
    <definedName name="_xlnm.Print_Area" localSheetId="2">'Proef'!$A$1:$N$43</definedName>
  </definedNames>
  <calcPr fullCalcOnLoad="1"/>
</workbook>
</file>

<file path=xl/sharedStrings.xml><?xml version="1.0" encoding="utf-8"?>
<sst xmlns="http://schemas.openxmlformats.org/spreadsheetml/2006/main" count="78" uniqueCount="65">
  <si>
    <t>s(t) in m</t>
  </si>
  <si>
    <t>t in s</t>
  </si>
  <si>
    <t>dt=</t>
  </si>
  <si>
    <t>n</t>
  </si>
  <si>
    <t>raaklijn</t>
  </si>
  <si>
    <t>rc =</t>
  </si>
  <si>
    <t>x</t>
  </si>
  <si>
    <t>y</t>
  </si>
  <si>
    <t>Raakpunt in t =</t>
  </si>
  <si>
    <t>t</t>
  </si>
  <si>
    <t>v</t>
  </si>
  <si>
    <t>s(t)</t>
  </si>
  <si>
    <t>a</t>
  </si>
  <si>
    <t>s(t) =</t>
  </si>
  <si>
    <t>A=</t>
  </si>
  <si>
    <t>m/s</t>
  </si>
  <si>
    <t>Goede raaklijn zien?</t>
  </si>
  <si>
    <t>Goede raaklijn</t>
  </si>
  <si>
    <t>Mijn raaklijn:</t>
  </si>
  <si>
    <t>schuifbalk</t>
  </si>
  <si>
    <t>rc=</t>
  </si>
  <si>
    <t>A =</t>
  </si>
  <si>
    <t>s</t>
  </si>
  <si>
    <t>cirkel rond draaipunt</t>
  </si>
  <si>
    <t>t =</t>
  </si>
  <si>
    <t>Oefenen met het tekenen van de juiste raaklijn.</t>
  </si>
  <si>
    <t>1.</t>
  </si>
  <si>
    <t>2.</t>
  </si>
  <si>
    <t>Oefenen</t>
  </si>
  <si>
    <t>Proef</t>
  </si>
  <si>
    <t>Klik onder aan het scherm op een van de tabs:</t>
  </si>
  <si>
    <t>gekozen rc =</t>
  </si>
  <si>
    <t>Juiste rc =</t>
  </si>
  <si>
    <t>Kies je nr (1 - 60) :</t>
  </si>
  <si>
    <t>Kies het raakpunt : t =</t>
  </si>
  <si>
    <t>Stel goede raaklijn in:</t>
  </si>
  <si>
    <t>&gt; Ga boven aan het scherm naar Extra, Macro, Beveiliging</t>
  </si>
  <si>
    <t>&gt; Zet beveiligingsniveau op Gemiddeld.</t>
  </si>
  <si>
    <t>&gt; Open dit programma opnieuw.</t>
  </si>
  <si>
    <t>Macro's</t>
  </si>
  <si>
    <t>Bij het openen moet je de macro's inschakelen (enable).</t>
  </si>
  <si>
    <t>Als bij de computer de macro-beveiliging op hoog staat heb je een probleem.</t>
  </si>
  <si>
    <t>De r.c. van de rode lijn is nu:</t>
  </si>
  <si>
    <t>Jouw raaklijn zien?</t>
  </si>
  <si>
    <t>Snelheid bepalen uit de afstand - tijd grafiek.</t>
  </si>
  <si>
    <t>vs29112006</t>
  </si>
  <si>
    <t>Raaklijn in t =</t>
  </si>
  <si>
    <t>Maak van de rode lijn een goede raaklijn:</t>
  </si>
  <si>
    <t>v(0) =</t>
  </si>
  <si>
    <t>grafiekkader</t>
  </si>
  <si>
    <t>a=</t>
  </si>
  <si>
    <t>Nr = C2 =</t>
  </si>
  <si>
    <t>nr</t>
  </si>
  <si>
    <t>v(0)</t>
  </si>
  <si>
    <t>v(3)</t>
  </si>
  <si>
    <t>v(6)</t>
  </si>
  <si>
    <t>v(9)</t>
  </si>
  <si>
    <t>p 5/ p105</t>
  </si>
  <si>
    <t>De raaklijn moet rond het raakpunt  goed met de grafiek samenvallen!</t>
  </si>
  <si>
    <t>Dat probleem los je zo op bij Excel 2003:</t>
  </si>
  <si>
    <t>Dat probleem los je zo op bij Excel 2007:</t>
  </si>
  <si>
    <t>&gt; Klik links boven op het icoon en kies Opties voor Excel</t>
  </si>
  <si>
    <t>&gt; Vervolgens kies je: Vertrouwenscentrum, Instellingen voor vertrouwenscentrum.</t>
  </si>
  <si>
    <t>&gt; Instelingen voor macro's en kies Alle macro's instellen . . .</t>
  </si>
  <si>
    <t>n =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</si>
</sst>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00000000"/>
    <numFmt numFmtId="172" formatCode="0.0000000000"/>
    <numFmt numFmtId="173" formatCode="0.00000000000"/>
  </numFmts>
  <fonts count="25">
    <font>
      <sz val="10"/>
      <name val="Arial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sz val="10"/>
      <name val="Comic Sans MS"/>
      <family val="4"/>
    </font>
    <font>
      <sz val="14"/>
      <color indexed="57"/>
      <name val="Comic Sans MS"/>
      <family val="4"/>
    </font>
    <font>
      <sz val="14"/>
      <color indexed="48"/>
      <name val="Comic Sans MS"/>
      <family val="4"/>
    </font>
    <font>
      <sz val="12"/>
      <color indexed="57"/>
      <name val="Comic Sans MS"/>
      <family val="4"/>
    </font>
    <font>
      <u val="single"/>
      <sz val="12"/>
      <color indexed="57"/>
      <name val="Comic Sans MS"/>
      <family val="4"/>
    </font>
    <font>
      <sz val="14"/>
      <color indexed="8"/>
      <name val="Comic Sans MS"/>
      <family val="4"/>
    </font>
    <font>
      <u val="single"/>
      <sz val="12"/>
      <color indexed="48"/>
      <name val="Comic Sans MS"/>
      <family val="4"/>
    </font>
    <font>
      <b/>
      <i/>
      <sz val="8"/>
      <color indexed="58"/>
      <name val="Arial"/>
      <family val="2"/>
    </font>
    <font>
      <b/>
      <sz val="10"/>
      <color indexed="17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u val="single"/>
      <sz val="12"/>
      <color indexed="12"/>
      <name val="Comic Sans MS"/>
      <family val="4"/>
    </font>
    <font>
      <sz val="14"/>
      <color indexed="17"/>
      <name val="Comic Sans MS"/>
      <family val="4"/>
    </font>
    <font>
      <sz val="10"/>
      <color indexed="17"/>
      <name val="Arial"/>
      <family val="0"/>
    </font>
    <font>
      <sz val="12"/>
      <color indexed="17"/>
      <name val="Comic Sans MS"/>
      <family val="4"/>
    </font>
    <font>
      <sz val="10"/>
      <color indexed="17"/>
      <name val="Comic Sans MS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55"/>
      </diagonal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3" fillId="0" borderId="5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1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 applyProtection="1">
      <alignment horizontal="center"/>
      <protection hidden="1" locked="0"/>
    </xf>
    <xf numFmtId="165" fontId="3" fillId="0" borderId="9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 hidden="1" locked="0"/>
    </xf>
    <xf numFmtId="0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2" fontId="3" fillId="0" borderId="16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ill="1" applyAlignment="1" quotePrefix="1">
      <alignment/>
    </xf>
    <xf numFmtId="165" fontId="3" fillId="0" borderId="15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 hidden="1" locked="0"/>
    </xf>
    <xf numFmtId="165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2" fontId="18" fillId="0" borderId="18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2" fontId="18" fillId="0" borderId="18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bottom style="hair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575"/>
          <c:w val="0.95575"/>
          <c:h val="0.944"/>
        </c:manualLayout>
      </c:layout>
      <c:scatterChart>
        <c:scatterStyle val="lineMarker"/>
        <c:varyColors val="0"/>
        <c:ser>
          <c:idx val="0"/>
          <c:order val="0"/>
          <c:tx>
            <c:v>s- t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Oefenen!$AC$9:$AC$15</c:f>
              <c:numCache/>
            </c:numRef>
          </c:xVal>
          <c:yVal>
            <c:numRef>
              <c:f>Oefenen!$AE$9:$AE$15</c:f>
              <c:numCache/>
            </c:numRef>
          </c:yVal>
          <c:smooth val="0"/>
        </c:ser>
        <c:ser>
          <c:idx val="1"/>
          <c:order val="1"/>
          <c:tx>
            <c:v>raakpunt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Oefenen!$C$2</c:f>
              <c:numCache/>
            </c:numRef>
          </c:xVal>
          <c:yVal>
            <c:numRef>
              <c:f>Oefenen!$AG$9</c:f>
              <c:numCache/>
            </c:numRef>
          </c:yVal>
          <c:smooth val="0"/>
        </c:ser>
        <c:ser>
          <c:idx val="3"/>
          <c:order val="2"/>
          <c:tx>
            <c:v>s-t 2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Oefenen!$AC$16:$AC$20</c:f>
              <c:numCache/>
            </c:numRef>
          </c:xVal>
          <c:yVal>
            <c:numRef>
              <c:f>Oefenen!$AE$16:$AE$20</c:f>
              <c:numCache/>
            </c:numRef>
          </c:yVal>
          <c:smooth val="0"/>
        </c:ser>
        <c:ser>
          <c:idx val="4"/>
          <c:order val="3"/>
          <c:tx>
            <c:v>s-t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Oefenen!$AC$21:$AC$31</c:f>
              <c:numCache/>
            </c:numRef>
          </c:xVal>
          <c:yVal>
            <c:numRef>
              <c:f>Oefenen!$AE$21:$AE$31</c:f>
              <c:numCache/>
            </c:numRef>
          </c:yVal>
          <c:smooth val="0"/>
        </c:ser>
        <c:ser>
          <c:idx val="5"/>
          <c:order val="4"/>
          <c:tx>
            <c:v>mijn raaklijn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Oefenen!$AH$14:$AH$15</c:f>
              <c:numCache/>
            </c:numRef>
          </c:xVal>
          <c:yVal>
            <c:numRef>
              <c:f>Oefenen!$AI$14:$AI$15</c:f>
              <c:numCache/>
            </c:numRef>
          </c:yVal>
          <c:smooth val="0"/>
        </c:ser>
        <c:ser>
          <c:idx val="2"/>
          <c:order val="5"/>
          <c:tx>
            <c:v>raaklijn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Oefenen!$AF$14:$AF$15</c:f>
              <c:numCache/>
            </c:numRef>
          </c:xVal>
          <c:yVal>
            <c:numRef>
              <c:f>Oefenen!$AG$14:$AG$15</c:f>
              <c:numCache/>
            </c:numRef>
          </c:yVal>
          <c:smooth val="0"/>
        </c:ser>
        <c:ser>
          <c:idx val="6"/>
          <c:order val="6"/>
          <c:tx>
            <c:v>cirkel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2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Oefenen!$AJ$9</c:f>
              <c:numCache/>
            </c:numRef>
          </c:xVal>
          <c:yVal>
            <c:numRef>
              <c:f>Oefenen!$AK$9</c:f>
              <c:numCache/>
            </c:numRef>
          </c:yVal>
          <c:smooth val="0"/>
        </c:ser>
        <c:axId val="56411517"/>
        <c:axId val="37941606"/>
      </c:scatterChart>
      <c:valAx>
        <c:axId val="5641151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7941606"/>
        <c:crosses val="autoZero"/>
        <c:crossBetween val="midCat"/>
        <c:dispUnits/>
        <c:majorUnit val="1"/>
        <c:minorUnit val="1"/>
      </c:valAx>
      <c:valAx>
        <c:axId val="3794160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afst.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151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3366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8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v>s-t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Proef!$AD$9:$AD$20</c:f>
              <c:numCache/>
            </c:numRef>
          </c:xVal>
          <c:yVal>
            <c:numRef>
              <c:f>Proef!$AE$9:$AE$20</c:f>
              <c:numCache/>
            </c:numRef>
          </c:yVal>
          <c:smooth val="0"/>
        </c:ser>
        <c:ser>
          <c:idx val="1"/>
          <c:order val="1"/>
          <c:tx>
            <c:v>raakpunt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Proef!$G$2</c:f>
              <c:numCache/>
            </c:numRef>
          </c:xVal>
          <c:yVal>
            <c:numRef>
              <c:f>Proef!$AG$10</c:f>
              <c:numCache/>
            </c:numRef>
          </c:yVal>
          <c:smooth val="0"/>
        </c:ser>
        <c:ser>
          <c:idx val="2"/>
          <c:order val="2"/>
          <c:tx>
            <c:v>raaklijn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Proef!$AF$15:$AF$16</c:f>
              <c:numCache/>
            </c:numRef>
          </c:xVal>
          <c:yVal>
            <c:numRef>
              <c:f>Proef!$AG$15:$AG$16</c:f>
              <c:numCache/>
            </c:numRef>
          </c:yVal>
          <c:smooth val="0"/>
        </c:ser>
        <c:ser>
          <c:idx val="3"/>
          <c:order val="3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Proef!$AF$20:$AF$24</c:f>
              <c:numCache/>
            </c:numRef>
          </c:xVal>
          <c:yVal>
            <c:numRef>
              <c:f>Proef!$AG$20:$AG$24</c:f>
              <c:numCache/>
            </c:numRef>
          </c:yVal>
          <c:smooth val="0"/>
        </c:ser>
        <c:axId val="5930135"/>
        <c:axId val="53371216"/>
      </c:scatterChart>
      <c:valAx>
        <c:axId val="5930135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crossAx val="53371216"/>
        <c:crosses val="autoZero"/>
        <c:crossBetween val="midCat"/>
        <c:dispUnits/>
      </c:valAx>
      <c:valAx>
        <c:axId val="533712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afst.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3366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4</xdr:row>
      <xdr:rowOff>133350</xdr:rowOff>
    </xdr:from>
    <xdr:to>
      <xdr:col>5</xdr:col>
      <xdr:colOff>2152650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78105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38100</xdr:rowOff>
    </xdr:from>
    <xdr:to>
      <xdr:col>10</xdr:col>
      <xdr:colOff>409575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85750" y="1019175"/>
        <a:ext cx="85820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1</xdr:row>
      <xdr:rowOff>9525</xdr:rowOff>
    </xdr:from>
    <xdr:to>
      <xdr:col>4</xdr:col>
      <xdr:colOff>1009650</xdr:colOff>
      <xdr:row>2</xdr:row>
      <xdr:rowOff>19050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15240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</xdr:row>
      <xdr:rowOff>95250</xdr:rowOff>
    </xdr:from>
    <xdr:to>
      <xdr:col>10</xdr:col>
      <xdr:colOff>371475</xdr:colOff>
      <xdr:row>3</xdr:row>
      <xdr:rowOff>19050</xdr:rowOff>
    </xdr:to>
    <xdr:pic>
      <xdr:nvPicPr>
        <xdr:cNvPr id="3" name="ScrollB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29550" y="43815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</xdr:row>
      <xdr:rowOff>95250</xdr:rowOff>
    </xdr:from>
    <xdr:to>
      <xdr:col>4</xdr:col>
      <xdr:colOff>1009650</xdr:colOff>
      <xdr:row>3</xdr:row>
      <xdr:rowOff>19050</xdr:rowOff>
    </xdr:to>
    <xdr:pic>
      <xdr:nvPicPr>
        <xdr:cNvPr id="4" name="ScrollBar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09925" y="43815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9525</xdr:rowOff>
    </xdr:from>
    <xdr:to>
      <xdr:col>10</xdr:col>
      <xdr:colOff>371475</xdr:colOff>
      <xdr:row>2</xdr:row>
      <xdr:rowOff>19050</xdr:rowOff>
    </xdr:to>
    <xdr:pic>
      <xdr:nvPicPr>
        <xdr:cNvPr id="5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29550" y="15240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66675</xdr:rowOff>
    </xdr:from>
    <xdr:to>
      <xdr:col>13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71450" y="628650"/>
        <a:ext cx="83058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1</xdr:row>
      <xdr:rowOff>19050</xdr:rowOff>
    </xdr:from>
    <xdr:to>
      <xdr:col>13</xdr:col>
      <xdr:colOff>19050</xdr:colOff>
      <xdr:row>2</xdr:row>
      <xdr:rowOff>19050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486650" y="1619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19050</xdr:rowOff>
    </xdr:from>
    <xdr:to>
      <xdr:col>8</xdr:col>
      <xdr:colOff>1000125</xdr:colOff>
      <xdr:row>2</xdr:row>
      <xdr:rowOff>19050</xdr:rowOff>
    </xdr:to>
    <xdr:pic>
      <xdr:nvPicPr>
        <xdr:cNvPr id="3" name="ScrollB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95800" y="1619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19050</xdr:rowOff>
    </xdr:from>
    <xdr:to>
      <xdr:col>3</xdr:col>
      <xdr:colOff>1000125</xdr:colOff>
      <xdr:row>2</xdr:row>
      <xdr:rowOff>19050</xdr:rowOff>
    </xdr:to>
    <xdr:pic>
      <xdr:nvPicPr>
        <xdr:cNvPr id="4" name="ScrollBar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04950" y="1619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6:F25"/>
  <sheetViews>
    <sheetView showGridLines="0" showRowColHeaders="0" tabSelected="1" showOutlineSymbols="0" workbookViewId="0" topLeftCell="A1">
      <pane xSplit="8" topLeftCell="I1" activePane="topRight" state="frozen"/>
      <selection pane="topLeft" activeCell="A1" sqref="A1"/>
      <selection pane="topRight" activeCell="E8" sqref="E8"/>
    </sheetView>
  </sheetViews>
  <sheetFormatPr defaultColWidth="9.140625" defaultRowHeight="12.75"/>
  <cols>
    <col min="2" max="2" width="2.140625" style="0" customWidth="1"/>
    <col min="3" max="3" width="11.7109375" style="0" customWidth="1"/>
    <col min="4" max="4" width="2.140625" style="0" customWidth="1"/>
    <col min="5" max="5" width="67.57421875" style="0" customWidth="1"/>
    <col min="6" max="8" width="34.7109375" style="0" customWidth="1"/>
  </cols>
  <sheetData>
    <row r="6" spans="2:6" ht="21" customHeight="1">
      <c r="B6" s="23" t="s">
        <v>26</v>
      </c>
      <c r="C6" s="112" t="s">
        <v>25</v>
      </c>
      <c r="D6" s="113"/>
      <c r="E6" s="113"/>
      <c r="F6" s="41" t="s">
        <v>45</v>
      </c>
    </row>
    <row r="7" spans="2:5" ht="21" customHeight="1">
      <c r="B7" s="22"/>
      <c r="C7" s="108"/>
      <c r="D7" s="109"/>
      <c r="E7" s="109"/>
    </row>
    <row r="8" spans="2:5" ht="21" customHeight="1">
      <c r="B8" s="23" t="s">
        <v>27</v>
      </c>
      <c r="C8" s="108" t="s">
        <v>44</v>
      </c>
      <c r="D8" s="109"/>
      <c r="E8" s="109"/>
    </row>
    <row r="9" ht="21" customHeight="1"/>
    <row r="10" spans="2:3" ht="21" customHeight="1" thickBot="1">
      <c r="B10" s="29" t="s">
        <v>30</v>
      </c>
      <c r="C10" s="23"/>
    </row>
    <row r="11" spans="2:4" ht="21" customHeight="1" thickBot="1">
      <c r="B11" s="28"/>
      <c r="C11" s="32" t="s">
        <v>28</v>
      </c>
      <c r="D11" s="30"/>
    </row>
    <row r="12" ht="6" customHeight="1" thickBot="1">
      <c r="B12" s="31"/>
    </row>
    <row r="13" spans="2:4" ht="21" customHeight="1" thickBot="1">
      <c r="B13" s="28"/>
      <c r="C13" s="32" t="s">
        <v>29</v>
      </c>
      <c r="D13" s="30"/>
    </row>
    <row r="15" spans="2:3" ht="19.5">
      <c r="B15" s="33" t="s">
        <v>39</v>
      </c>
      <c r="C15" s="27"/>
    </row>
    <row r="16" spans="2:4" ht="19.5">
      <c r="B16" s="110" t="s">
        <v>40</v>
      </c>
      <c r="C16" s="26"/>
      <c r="D16" s="21"/>
    </row>
    <row r="17" spans="2:4" ht="19.5">
      <c r="B17" s="110" t="s">
        <v>41</v>
      </c>
      <c r="C17" s="26"/>
      <c r="D17" s="21"/>
    </row>
    <row r="18" spans="2:4" ht="19.5">
      <c r="B18" s="107" t="s">
        <v>59</v>
      </c>
      <c r="C18" s="27"/>
      <c r="D18" s="21"/>
    </row>
    <row r="19" spans="2:4" ht="19.5">
      <c r="B19" s="110" t="s">
        <v>36</v>
      </c>
      <c r="C19" s="26"/>
      <c r="D19" s="21"/>
    </row>
    <row r="20" spans="2:4" ht="19.5">
      <c r="B20" s="110" t="s">
        <v>37</v>
      </c>
      <c r="C20" s="26"/>
      <c r="D20" s="21"/>
    </row>
    <row r="21" spans="2:4" ht="19.5">
      <c r="B21" s="110" t="s">
        <v>38</v>
      </c>
      <c r="C21" s="26"/>
      <c r="D21" s="21"/>
    </row>
    <row r="22" spans="2:4" ht="19.5">
      <c r="B22" s="107" t="s">
        <v>60</v>
      </c>
      <c r="C22" s="21"/>
      <c r="D22" s="21"/>
    </row>
    <row r="23" spans="2:4" ht="19.5">
      <c r="B23" s="110" t="s">
        <v>61</v>
      </c>
      <c r="C23" s="111"/>
      <c r="D23" s="21"/>
    </row>
    <row r="24" spans="2:4" ht="19.5">
      <c r="B24" s="110" t="s">
        <v>62</v>
      </c>
      <c r="C24" s="111"/>
      <c r="D24" s="21"/>
    </row>
    <row r="25" spans="2:4" ht="19.5">
      <c r="B25" s="110" t="s">
        <v>63</v>
      </c>
      <c r="C25" s="111"/>
      <c r="D25" s="21"/>
    </row>
  </sheetData>
  <sheetProtection password="DE47" sheet="1" objects="1" scenarios="1" selectLockedCells="1" selectUnlockedCells="1"/>
  <mergeCells count="1">
    <mergeCell ref="C6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N51"/>
  <sheetViews>
    <sheetView showGridLines="0" showRowColHeaders="0" showOutlineSymbols="0" zoomScale="75" zoomScaleNormal="75" zoomScaleSheetLayoutView="80" workbookViewId="0" topLeftCell="A1">
      <pane xSplit="27" topLeftCell="AB1" activePane="topRight" state="frozen"/>
      <selection pane="topLeft" activeCell="A1" sqref="A1"/>
      <selection pane="topRight" activeCell="F4" sqref="F4"/>
    </sheetView>
  </sheetViews>
  <sheetFormatPr defaultColWidth="9.140625" defaultRowHeight="12.75"/>
  <cols>
    <col min="1" max="1" width="5.140625" style="1" customWidth="1"/>
    <col min="2" max="2" width="31.7109375" style="0" bestFit="1" customWidth="1"/>
    <col min="3" max="3" width="7.00390625" style="0" bestFit="1" customWidth="1"/>
    <col min="4" max="4" width="4.140625" style="0" bestFit="1" customWidth="1"/>
    <col min="5" max="5" width="15.140625" style="0" customWidth="1"/>
    <col min="6" max="6" width="3.421875" style="0" customWidth="1"/>
    <col min="7" max="7" width="39.00390625" style="0" customWidth="1"/>
    <col min="8" max="8" width="7.57421875" style="0" bestFit="1" customWidth="1"/>
    <col min="9" max="9" width="4.140625" style="0" bestFit="1" customWidth="1"/>
    <col min="10" max="10" width="9.57421875" style="0" bestFit="1" customWidth="1"/>
    <col min="15" max="27" width="234.28125" style="0" customWidth="1"/>
    <col min="28" max="28" width="9.421875" style="0" bestFit="1" customWidth="1"/>
    <col min="29" max="31" width="9.28125" style="0" bestFit="1" customWidth="1"/>
    <col min="32" max="32" width="14.7109375" style="0" bestFit="1" customWidth="1"/>
    <col min="33" max="33" width="10.421875" style="0" bestFit="1" customWidth="1"/>
    <col min="34" max="34" width="13.00390625" style="0" bestFit="1" customWidth="1"/>
    <col min="36" max="39" width="9.140625" style="17" customWidth="1"/>
  </cols>
  <sheetData>
    <row r="1" ht="11.25" customHeight="1"/>
    <row r="2" spans="1:10" ht="15.75" customHeight="1">
      <c r="A2" s="4"/>
      <c r="B2" s="47" t="s">
        <v>46</v>
      </c>
      <c r="C2" s="48">
        <f>E2/2</f>
        <v>3</v>
      </c>
      <c r="D2" s="49" t="s">
        <v>22</v>
      </c>
      <c r="E2" s="24">
        <v>6</v>
      </c>
      <c r="G2" s="16" t="s">
        <v>43</v>
      </c>
      <c r="H2" s="16" t="str">
        <f>IF(J2=1,"Ja","Nee")</f>
        <v>Ja</v>
      </c>
      <c r="I2" s="34"/>
      <c r="J2" s="24">
        <v>1</v>
      </c>
    </row>
    <row r="3" spans="1:9" ht="22.5" customHeight="1">
      <c r="A3" s="4"/>
      <c r="B3" s="44" t="s">
        <v>16</v>
      </c>
      <c r="C3" s="45" t="str">
        <f>IF(E3=1,"Ja","Nee")</f>
        <v>Nee</v>
      </c>
      <c r="D3" s="46"/>
      <c r="E3" s="24">
        <v>0</v>
      </c>
      <c r="G3" s="35" t="s">
        <v>47</v>
      </c>
      <c r="H3" s="36"/>
      <c r="I3" s="37"/>
    </row>
    <row r="4" spans="1:13" ht="15" customHeight="1">
      <c r="A4" s="4"/>
      <c r="B4" s="42">
        <f>IF(E3=1,"Goede r.c. (steilheid) =","")</f>
      </c>
      <c r="C4" s="43">
        <f>IF(E3=1,AG8,"")</f>
      </c>
      <c r="D4" s="42">
        <f>IF(E3=1,"m/s","")</f>
      </c>
      <c r="G4" s="38" t="str">
        <f>IF(J2=1,"De rc van deze lijn is nu:","")</f>
        <v>De rc van deze lijn is nu:</v>
      </c>
      <c r="H4" s="39">
        <f>IF(J2=1,AI8,"")</f>
        <v>12.8</v>
      </c>
      <c r="I4" s="40" t="str">
        <f>IF(J2=1,"m/s","")</f>
        <v>m/s</v>
      </c>
      <c r="L4" s="5"/>
      <c r="M4" s="3"/>
    </row>
    <row r="5" spans="1:13" ht="12.75">
      <c r="A5" s="4"/>
      <c r="F5" s="3"/>
      <c r="G5" s="105" t="s">
        <v>58</v>
      </c>
      <c r="J5" s="3"/>
      <c r="K5" s="4"/>
      <c r="M5" s="3"/>
    </row>
    <row r="6" spans="1:36" ht="22.5" customHeight="1">
      <c r="A6" s="4"/>
      <c r="B6" s="4"/>
      <c r="K6" s="4"/>
      <c r="L6" s="5"/>
      <c r="M6" s="3"/>
      <c r="AF6" s="11" t="s">
        <v>17</v>
      </c>
      <c r="AG6" s="13"/>
      <c r="AH6" s="3" t="s">
        <v>18</v>
      </c>
      <c r="AJ6" s="17" t="s">
        <v>23</v>
      </c>
    </row>
    <row r="7" spans="32:36" ht="15" customHeight="1">
      <c r="AF7" s="13" t="s">
        <v>24</v>
      </c>
      <c r="AG7" s="11">
        <f>C2</f>
        <v>3</v>
      </c>
      <c r="AH7" s="3" t="s">
        <v>19</v>
      </c>
      <c r="AI7" s="25">
        <v>128</v>
      </c>
      <c r="AJ7" s="17" t="s">
        <v>23</v>
      </c>
    </row>
    <row r="8" spans="28:40" ht="12.75">
      <c r="AB8" s="1" t="s">
        <v>12</v>
      </c>
      <c r="AC8" s="1" t="s">
        <v>9</v>
      </c>
      <c r="AD8" s="8" t="s">
        <v>10</v>
      </c>
      <c r="AE8" s="1" t="s">
        <v>11</v>
      </c>
      <c r="AF8" s="11" t="s">
        <v>5</v>
      </c>
      <c r="AG8" s="11">
        <f>VLOOKUP($C$2,$AC$9:$AE$31,2,FALSE)</f>
        <v>13.333333333333334</v>
      </c>
      <c r="AH8" s="4" t="s">
        <v>20</v>
      </c>
      <c r="AI8" s="5">
        <f>IF(J2=1,AI7/10,0)</f>
        <v>12.8</v>
      </c>
      <c r="AJ8" s="105" t="s">
        <v>9</v>
      </c>
      <c r="AK8" s="105" t="s">
        <v>11</v>
      </c>
      <c r="AM8" s="18"/>
      <c r="AN8" s="20"/>
    </row>
    <row r="9" spans="5:37" ht="12.75">
      <c r="E9" s="12"/>
      <c r="F9" s="12"/>
      <c r="AB9" s="2">
        <f>AE15/(0.5*AC15^2)</f>
        <v>4.444444444444445</v>
      </c>
      <c r="AC9" s="1">
        <v>0</v>
      </c>
      <c r="AD9" s="7">
        <f aca="true" t="shared" si="0" ref="AD9:AD15">$AB$9*AC9</f>
        <v>0</v>
      </c>
      <c r="AE9" s="6">
        <f aca="true" t="shared" si="1" ref="AE9:AE14">0.5*$AB$9*AC9^2</f>
        <v>0</v>
      </c>
      <c r="AF9" s="11" t="s">
        <v>13</v>
      </c>
      <c r="AG9" s="11">
        <f>VLOOKUP($C$2,$AC$9:$AE$31,3,FALSE)</f>
        <v>20</v>
      </c>
      <c r="AH9" s="4" t="s">
        <v>21</v>
      </c>
      <c r="AI9" s="5">
        <f>IF(J2=1,AG9-AI8*C2,-100)</f>
        <v>-18.400000000000006</v>
      </c>
      <c r="AJ9" s="106">
        <f>AG7</f>
        <v>3</v>
      </c>
      <c r="AK9" s="106">
        <f>AG9</f>
        <v>20</v>
      </c>
    </row>
    <row r="10" spans="5:39" ht="12.75">
      <c r="E10" s="12"/>
      <c r="F10" s="12"/>
      <c r="AB10" s="1"/>
      <c r="AC10" s="1">
        <v>0.5</v>
      </c>
      <c r="AD10" s="6">
        <f t="shared" si="0"/>
        <v>2.2222222222222223</v>
      </c>
      <c r="AE10" s="6">
        <f t="shared" si="1"/>
        <v>0.5555555555555556</v>
      </c>
      <c r="AF10" s="11" t="s">
        <v>14</v>
      </c>
      <c r="AG10" s="11">
        <f>IF(E3=1,AG9-AG8*C2,1000)</f>
        <v>1000</v>
      </c>
      <c r="AH10" s="1"/>
      <c r="AI10" s="1"/>
      <c r="AJ10" s="18"/>
      <c r="AK10" s="18"/>
      <c r="AL10" s="18"/>
      <c r="AM10" s="18"/>
    </row>
    <row r="11" spans="28:39" ht="12.75">
      <c r="AB11" s="1"/>
      <c r="AC11" s="1">
        <v>1</v>
      </c>
      <c r="AD11" s="6">
        <f t="shared" si="0"/>
        <v>4.444444444444445</v>
      </c>
      <c r="AE11" s="6">
        <f t="shared" si="1"/>
        <v>2.2222222222222223</v>
      </c>
      <c r="AF11" s="11"/>
      <c r="AG11" s="13"/>
      <c r="AH11" s="1"/>
      <c r="AI11" s="1"/>
      <c r="AJ11" s="18"/>
      <c r="AK11" s="18"/>
      <c r="AL11" s="19"/>
      <c r="AM11" s="19"/>
    </row>
    <row r="12" spans="10:39" ht="12.75">
      <c r="J12" s="3"/>
      <c r="AB12" s="1"/>
      <c r="AC12" s="1">
        <v>1.5</v>
      </c>
      <c r="AD12" s="6">
        <f t="shared" si="0"/>
        <v>6.666666666666667</v>
      </c>
      <c r="AE12" s="6">
        <f t="shared" si="1"/>
        <v>5</v>
      </c>
      <c r="AH12" s="1"/>
      <c r="AI12" s="4"/>
      <c r="AJ12" s="18"/>
      <c r="AK12" s="18"/>
      <c r="AL12" s="19"/>
      <c r="AM12" s="19"/>
    </row>
    <row r="13" spans="10:39" ht="12.75">
      <c r="J13" s="15"/>
      <c r="AB13" s="1">
        <v>0</v>
      </c>
      <c r="AC13" s="1">
        <v>2</v>
      </c>
      <c r="AD13" s="6">
        <f t="shared" si="0"/>
        <v>8.88888888888889</v>
      </c>
      <c r="AE13" s="6">
        <f t="shared" si="1"/>
        <v>8.88888888888889</v>
      </c>
      <c r="AF13" s="11" t="s">
        <v>6</v>
      </c>
      <c r="AG13" s="11" t="s">
        <v>7</v>
      </c>
      <c r="AH13" s="4" t="s">
        <v>6</v>
      </c>
      <c r="AI13" s="4" t="s">
        <v>7</v>
      </c>
      <c r="AJ13" s="18"/>
      <c r="AK13" s="18"/>
      <c r="AL13" s="19"/>
      <c r="AM13" s="19"/>
    </row>
    <row r="14" spans="10:39" ht="12.75">
      <c r="J14" s="5"/>
      <c r="AB14" s="1"/>
      <c r="AC14" s="1">
        <v>2.5</v>
      </c>
      <c r="AD14" s="6">
        <f t="shared" si="0"/>
        <v>11.11111111111111</v>
      </c>
      <c r="AE14" s="6">
        <f t="shared" si="1"/>
        <v>13.88888888888889</v>
      </c>
      <c r="AF14" s="11">
        <v>0</v>
      </c>
      <c r="AG14" s="13">
        <f>$AG$8*AF14+$AG$10</f>
        <v>1000</v>
      </c>
      <c r="AH14" s="4">
        <v>0</v>
      </c>
      <c r="AI14" s="5">
        <f>$AI$8*AH14+$AI$9</f>
        <v>-18.400000000000006</v>
      </c>
      <c r="AJ14" s="18"/>
      <c r="AK14" s="18"/>
      <c r="AL14" s="19"/>
      <c r="AM14" s="19"/>
    </row>
    <row r="15" spans="10:39" ht="12.75">
      <c r="J15" s="3"/>
      <c r="AB15" s="1"/>
      <c r="AC15" s="8">
        <v>3</v>
      </c>
      <c r="AD15" s="6">
        <f t="shared" si="0"/>
        <v>13.333333333333334</v>
      </c>
      <c r="AE15" s="7">
        <v>20</v>
      </c>
      <c r="AF15" s="11">
        <v>10</v>
      </c>
      <c r="AG15" s="14">
        <f>$AG$8*AF15+$AG$10</f>
        <v>1133.3333333333333</v>
      </c>
      <c r="AH15" s="4">
        <v>10</v>
      </c>
      <c r="AI15" s="5">
        <f>$AI$8*AH15+$AI$9</f>
        <v>109.6</v>
      </c>
      <c r="AJ15" s="18"/>
      <c r="AK15" s="18"/>
      <c r="AL15" s="19"/>
      <c r="AM15" s="19"/>
    </row>
    <row r="16" spans="10:39" ht="12.75">
      <c r="J16" s="3"/>
      <c r="AB16" s="2">
        <f>-AD20/(AC31-AC20)</f>
        <v>-2.666666666666667</v>
      </c>
      <c r="AC16" s="9">
        <f>AC15</f>
        <v>3</v>
      </c>
      <c r="AD16" s="10">
        <f>$AD$15</f>
        <v>13.333333333333334</v>
      </c>
      <c r="AE16" s="10">
        <f>$AE$15+$AD$15*(AC16-$AC$16)</f>
        <v>20</v>
      </c>
      <c r="AF16" s="6"/>
      <c r="AG16" s="1"/>
      <c r="AH16" s="1"/>
      <c r="AI16" s="1"/>
      <c r="AJ16" s="18"/>
      <c r="AK16" s="18"/>
      <c r="AL16" s="19"/>
      <c r="AM16" s="19"/>
    </row>
    <row r="17" spans="10:39" ht="12.75">
      <c r="J17" s="5"/>
      <c r="AB17" s="1"/>
      <c r="AC17" s="1">
        <v>3.5</v>
      </c>
      <c r="AD17" s="10">
        <f>$AD$15</f>
        <v>13.333333333333334</v>
      </c>
      <c r="AE17" s="10">
        <f>$AE$15+$AD$15*(AC17-$AC$16)</f>
        <v>26.666666666666668</v>
      </c>
      <c r="AF17" s="6"/>
      <c r="AJ17" s="18"/>
      <c r="AK17" s="18"/>
      <c r="AL17" s="19"/>
      <c r="AM17" s="19"/>
    </row>
    <row r="18" spans="10:39" ht="12.75">
      <c r="J18" s="5"/>
      <c r="AB18" s="1"/>
      <c r="AC18" s="9">
        <v>4</v>
      </c>
      <c r="AD18" s="10">
        <f>$AD$15</f>
        <v>13.333333333333334</v>
      </c>
      <c r="AE18" s="10">
        <f>$AE$15+$AD$15*(AC18-$AC$16)</f>
        <v>33.333333333333336</v>
      </c>
      <c r="AF18" s="6"/>
      <c r="AJ18" s="18"/>
      <c r="AK18" s="18"/>
      <c r="AL18" s="19"/>
      <c r="AM18" s="19"/>
    </row>
    <row r="19" spans="28:39" ht="12.75">
      <c r="AB19" s="1"/>
      <c r="AC19" s="1">
        <v>4.5</v>
      </c>
      <c r="AD19" s="10">
        <f>$AD$15</f>
        <v>13.333333333333334</v>
      </c>
      <c r="AE19" s="10">
        <f>$AE$15+$AD$15*(AC19-$AC$16)</f>
        <v>40</v>
      </c>
      <c r="AF19" s="6"/>
      <c r="AJ19" s="18"/>
      <c r="AK19" s="18"/>
      <c r="AL19" s="19"/>
      <c r="AM19" s="19"/>
    </row>
    <row r="20" spans="28:39" ht="12.75">
      <c r="AB20" s="1"/>
      <c r="AC20" s="9">
        <v>5</v>
      </c>
      <c r="AD20" s="10">
        <f>$AD$15</f>
        <v>13.333333333333334</v>
      </c>
      <c r="AE20" s="10">
        <f>$AE$15+$AD$15*(AC20-$AC$16)</f>
        <v>46.66666666666667</v>
      </c>
      <c r="AF20" s="6"/>
      <c r="AJ20" s="18"/>
      <c r="AK20" s="18"/>
      <c r="AL20" s="19"/>
      <c r="AM20" s="19"/>
    </row>
    <row r="21" spans="28:39" ht="12.75">
      <c r="AB21" s="1"/>
      <c r="AC21" s="1">
        <v>5</v>
      </c>
      <c r="AD21" s="6">
        <f aca="true" t="shared" si="2" ref="AD21:AD31">$AD$20+$AB$16*(AC21-$AC$21)</f>
        <v>13.333333333333334</v>
      </c>
      <c r="AE21" s="6">
        <f aca="true" t="shared" si="3" ref="AE21:AE31">$AE$20+$AD$20*(AC21-$AC$21)+0.5*$AB$16*(AC21-$AC$21)^2</f>
        <v>46.66666666666667</v>
      </c>
      <c r="AJ21" s="18"/>
      <c r="AK21" s="18"/>
      <c r="AL21" s="19"/>
      <c r="AM21" s="19"/>
    </row>
    <row r="22" spans="29:39" ht="12.75">
      <c r="AC22" s="1">
        <v>5.5</v>
      </c>
      <c r="AD22" s="6">
        <f t="shared" si="2"/>
        <v>12</v>
      </c>
      <c r="AE22" s="6">
        <f t="shared" si="3"/>
        <v>53</v>
      </c>
      <c r="AJ22" s="18"/>
      <c r="AK22" s="18"/>
      <c r="AL22" s="19"/>
      <c r="AM22" s="19"/>
    </row>
    <row r="23" spans="29:39" ht="12.75">
      <c r="AC23" s="1">
        <v>6</v>
      </c>
      <c r="AD23" s="6">
        <f t="shared" si="2"/>
        <v>10.666666666666668</v>
      </c>
      <c r="AE23" s="6">
        <f t="shared" si="3"/>
        <v>58.66666666666667</v>
      </c>
      <c r="AJ23" s="18"/>
      <c r="AK23" s="18"/>
      <c r="AL23" s="19"/>
      <c r="AM23" s="19"/>
    </row>
    <row r="24" spans="29:39" ht="12.75">
      <c r="AC24" s="1">
        <v>6.5</v>
      </c>
      <c r="AD24" s="6">
        <f t="shared" si="2"/>
        <v>9.333333333333334</v>
      </c>
      <c r="AE24" s="6">
        <f t="shared" si="3"/>
        <v>63.66666666666667</v>
      </c>
      <c r="AJ24" s="18"/>
      <c r="AK24" s="18"/>
      <c r="AL24" s="19"/>
      <c r="AM24" s="19"/>
    </row>
    <row r="25" spans="5:39" ht="12.75">
      <c r="E25" s="1"/>
      <c r="F25" s="1"/>
      <c r="AC25" s="1">
        <v>7</v>
      </c>
      <c r="AD25" s="6">
        <f t="shared" si="2"/>
        <v>8</v>
      </c>
      <c r="AE25" s="6">
        <f t="shared" si="3"/>
        <v>68.00000000000001</v>
      </c>
      <c r="AJ25" s="18"/>
      <c r="AK25" s="18"/>
      <c r="AL25" s="19"/>
      <c r="AM25" s="19"/>
    </row>
    <row r="26" spans="2:39" ht="12.75">
      <c r="B26" s="1"/>
      <c r="C26" s="1"/>
      <c r="D26" s="1"/>
      <c r="E26" s="1"/>
      <c r="F26" s="1"/>
      <c r="AC26" s="1">
        <v>7.5</v>
      </c>
      <c r="AD26" s="6">
        <f t="shared" si="2"/>
        <v>6.666666666666666</v>
      </c>
      <c r="AE26" s="6">
        <f t="shared" si="3"/>
        <v>71.66666666666667</v>
      </c>
      <c r="AJ26" s="18"/>
      <c r="AK26" s="18"/>
      <c r="AL26" s="19"/>
      <c r="AM26" s="19"/>
    </row>
    <row r="27" spans="2:39" ht="12.75">
      <c r="B27" s="1"/>
      <c r="C27" s="1"/>
      <c r="D27" s="1"/>
      <c r="AC27" s="1">
        <v>8</v>
      </c>
      <c r="AD27" s="6">
        <f t="shared" si="2"/>
        <v>5.333333333333334</v>
      </c>
      <c r="AE27" s="6">
        <f t="shared" si="3"/>
        <v>74.66666666666667</v>
      </c>
      <c r="AJ27" s="18"/>
      <c r="AK27" s="18"/>
      <c r="AL27" s="19"/>
      <c r="AM27" s="19"/>
    </row>
    <row r="28" spans="29:39" ht="12.75">
      <c r="AC28" s="1">
        <v>8.5</v>
      </c>
      <c r="AD28" s="6">
        <f t="shared" si="2"/>
        <v>4</v>
      </c>
      <c r="AE28" s="6">
        <f t="shared" si="3"/>
        <v>77</v>
      </c>
      <c r="AJ28" s="18"/>
      <c r="AK28" s="18"/>
      <c r="AL28" s="19"/>
      <c r="AM28" s="19"/>
    </row>
    <row r="29" spans="29:39" ht="12.75">
      <c r="AC29" s="1">
        <v>9</v>
      </c>
      <c r="AD29" s="6">
        <f t="shared" si="2"/>
        <v>2.666666666666666</v>
      </c>
      <c r="AE29" s="6">
        <f t="shared" si="3"/>
        <v>78.66666666666666</v>
      </c>
      <c r="AJ29" s="18"/>
      <c r="AK29" s="18"/>
      <c r="AL29" s="19"/>
      <c r="AM29" s="19"/>
    </row>
    <row r="30" spans="29:39" ht="12.75">
      <c r="AC30" s="1">
        <v>9.5</v>
      </c>
      <c r="AD30" s="6">
        <f t="shared" si="2"/>
        <v>1.3333333333333321</v>
      </c>
      <c r="AE30" s="6">
        <f t="shared" si="3"/>
        <v>79.66666666666667</v>
      </c>
      <c r="AJ30" s="18"/>
      <c r="AK30" s="18"/>
      <c r="AL30" s="19"/>
      <c r="AM30" s="19"/>
    </row>
    <row r="31" spans="29:39" ht="12.75">
      <c r="AC31" s="8">
        <v>10</v>
      </c>
      <c r="AD31" s="6">
        <f t="shared" si="2"/>
        <v>0</v>
      </c>
      <c r="AE31" s="6">
        <f t="shared" si="3"/>
        <v>80</v>
      </c>
      <c r="AJ31" s="18"/>
      <c r="AK31" s="18"/>
      <c r="AL31" s="19"/>
      <c r="AM31" s="19"/>
    </row>
    <row r="32" spans="36:39" ht="12.75">
      <c r="AJ32" s="18"/>
      <c r="AK32" s="18"/>
      <c r="AL32" s="19"/>
      <c r="AM32" s="19"/>
    </row>
    <row r="33" spans="36:39" ht="12.75">
      <c r="AJ33" s="18"/>
      <c r="AK33" s="18"/>
      <c r="AL33" s="19"/>
      <c r="AM33" s="19"/>
    </row>
    <row r="34" spans="36:39" ht="12.75">
      <c r="AJ34" s="18"/>
      <c r="AK34" s="18"/>
      <c r="AL34" s="19"/>
      <c r="AM34" s="19"/>
    </row>
    <row r="35" spans="36:39" ht="12.75">
      <c r="AJ35" s="18"/>
      <c r="AK35" s="18"/>
      <c r="AL35" s="19"/>
      <c r="AM35" s="19"/>
    </row>
    <row r="36" spans="36:39" ht="12.75">
      <c r="AJ36" s="18"/>
      <c r="AK36" s="18"/>
      <c r="AL36" s="19"/>
      <c r="AM36" s="19"/>
    </row>
    <row r="37" spans="36:39" ht="12.75">
      <c r="AJ37" s="18"/>
      <c r="AK37" s="18"/>
      <c r="AL37" s="19"/>
      <c r="AM37" s="19"/>
    </row>
    <row r="38" spans="36:39" ht="12.75">
      <c r="AJ38" s="18"/>
      <c r="AK38" s="18"/>
      <c r="AL38" s="19"/>
      <c r="AM38" s="19"/>
    </row>
    <row r="39" spans="36:39" ht="12.75">
      <c r="AJ39" s="18"/>
      <c r="AK39" s="18"/>
      <c r="AL39" s="19"/>
      <c r="AM39" s="19"/>
    </row>
    <row r="40" spans="36:39" ht="12.75">
      <c r="AJ40" s="18"/>
      <c r="AK40" s="18"/>
      <c r="AL40" s="19"/>
      <c r="AM40" s="19"/>
    </row>
    <row r="41" spans="36:39" ht="12.75">
      <c r="AJ41" s="18"/>
      <c r="AK41" s="18"/>
      <c r="AL41" s="19"/>
      <c r="AM41" s="19"/>
    </row>
    <row r="42" spans="36:39" ht="12.75">
      <c r="AJ42" s="18"/>
      <c r="AK42" s="18"/>
      <c r="AL42" s="19"/>
      <c r="AM42" s="19"/>
    </row>
    <row r="43" spans="36:39" ht="12.75">
      <c r="AJ43" s="18"/>
      <c r="AK43" s="18"/>
      <c r="AL43" s="19"/>
      <c r="AM43" s="19"/>
    </row>
    <row r="44" spans="36:39" ht="12.75">
      <c r="AJ44" s="18"/>
      <c r="AK44" s="18"/>
      <c r="AL44" s="19"/>
      <c r="AM44" s="19"/>
    </row>
    <row r="45" spans="36:39" ht="12.75">
      <c r="AJ45" s="18"/>
      <c r="AK45" s="18"/>
      <c r="AL45" s="19"/>
      <c r="AM45" s="19"/>
    </row>
    <row r="46" spans="36:39" ht="12.75">
      <c r="AJ46" s="18"/>
      <c r="AK46" s="18"/>
      <c r="AL46" s="19"/>
      <c r="AM46" s="19"/>
    </row>
    <row r="47" spans="36:39" ht="12.75">
      <c r="AJ47" s="18"/>
      <c r="AK47" s="18"/>
      <c r="AL47" s="19"/>
      <c r="AM47" s="19"/>
    </row>
    <row r="48" spans="36:39" ht="12.75">
      <c r="AJ48" s="18"/>
      <c r="AK48" s="18"/>
      <c r="AL48" s="19"/>
      <c r="AM48" s="19"/>
    </row>
    <row r="49" spans="36:39" ht="12.75">
      <c r="AJ49" s="18"/>
      <c r="AK49" s="18"/>
      <c r="AL49" s="19"/>
      <c r="AM49" s="19"/>
    </row>
    <row r="50" spans="36:39" ht="12.75">
      <c r="AJ50" s="18"/>
      <c r="AK50" s="18"/>
      <c r="AL50" s="19"/>
      <c r="AM50" s="19"/>
    </row>
    <row r="51" spans="36:39" ht="12.75">
      <c r="AJ51" s="18"/>
      <c r="AK51" s="18"/>
      <c r="AL51" s="19"/>
      <c r="AM51" s="19"/>
    </row>
  </sheetData>
  <sheetProtection password="DE47" sheet="1" objects="1" scenarios="1" selectLockedCells="1" selectUnlockedCells="1"/>
  <conditionalFormatting sqref="G3:I4">
    <cfRule type="expression" priority="1" dxfId="0" stopIfTrue="1">
      <formula>$J$2=1</formula>
    </cfRule>
  </conditionalFormatting>
  <conditionalFormatting sqref="B4:D4">
    <cfRule type="expression" priority="2" dxfId="0" stopIfTrue="1">
      <formula>$E$3=1</formula>
    </cfRule>
  </conditionalFormatting>
  <printOptions/>
  <pageMargins left="0.75" right="0.75" top="1" bottom="1" header="0.5" footer="0.5"/>
  <pageSetup horizontalDpi="300" verticalDpi="300" orientation="portrait" paperSize="9" scale="57" r:id="rId2"/>
  <colBreaks count="1" manualBreakCount="1">
    <brk id="12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B2:AP65"/>
  <sheetViews>
    <sheetView showGridLines="0" showRowColHeaders="0" showOutlineSymbols="0" zoomScale="75" zoomScaleNormal="75" workbookViewId="0" topLeftCell="A1">
      <pane xSplit="24" topLeftCell="IV1" activePane="topRight" state="frozen"/>
      <selection pane="topLeft" activeCell="A1" sqref="A1"/>
      <selection pane="topRight" activeCell="O13" sqref="O13"/>
    </sheetView>
  </sheetViews>
  <sheetFormatPr defaultColWidth="9.140625" defaultRowHeight="12.75"/>
  <cols>
    <col min="1" max="1" width="1.421875" style="50" customWidth="1"/>
    <col min="2" max="2" width="17.421875" style="50" bestFit="1" customWidth="1"/>
    <col min="3" max="3" width="3.7109375" style="50" customWidth="1"/>
    <col min="4" max="4" width="15.140625" style="50" customWidth="1"/>
    <col min="5" max="5" width="1.421875" style="50" customWidth="1"/>
    <col min="6" max="6" width="21.140625" style="50" bestFit="1" customWidth="1"/>
    <col min="7" max="7" width="5.00390625" style="50" customWidth="1"/>
    <col min="8" max="8" width="2.140625" style="50" customWidth="1"/>
    <col min="9" max="9" width="15.140625" style="50" customWidth="1"/>
    <col min="10" max="10" width="1.421875" style="50" customWidth="1"/>
    <col min="11" max="11" width="28.28125" style="50" customWidth="1"/>
    <col min="12" max="12" width="5.57421875" style="50" customWidth="1"/>
    <col min="13" max="16" width="9.140625" style="50" customWidth="1"/>
    <col min="17" max="28" width="179.421875" style="50" customWidth="1"/>
    <col min="29" max="31" width="9.140625" style="50" customWidth="1"/>
    <col min="32" max="32" width="14.8515625" style="50" bestFit="1" customWidth="1"/>
    <col min="33" max="33" width="9.28125" style="50" bestFit="1" customWidth="1"/>
    <col min="34" max="34" width="9.140625" style="50" customWidth="1"/>
    <col min="35" max="35" width="9.28125" style="50" bestFit="1" customWidth="1"/>
    <col min="36" max="36" width="16.00390625" style="50" customWidth="1"/>
    <col min="37" max="42" width="0" style="50" hidden="1" customWidth="1"/>
    <col min="43" max="16384" width="9.140625" style="50" customWidth="1"/>
  </cols>
  <sheetData>
    <row r="1" ht="11.25" customHeight="1"/>
    <row r="2" spans="2:11" ht="16.5" customHeight="1">
      <c r="B2" s="51" t="s">
        <v>33</v>
      </c>
      <c r="C2" s="52">
        <v>1</v>
      </c>
      <c r="F2" s="51" t="s">
        <v>34</v>
      </c>
      <c r="G2" s="53">
        <f>I2/2</f>
        <v>10</v>
      </c>
      <c r="H2" s="53" t="s">
        <v>22</v>
      </c>
      <c r="I2" s="54">
        <v>20</v>
      </c>
      <c r="K2" s="55" t="s">
        <v>35</v>
      </c>
    </row>
    <row r="3" spans="11:13" ht="16.5" customHeight="1">
      <c r="K3" s="55" t="s">
        <v>42</v>
      </c>
      <c r="L3" s="56">
        <f>AG13</f>
        <v>18.4</v>
      </c>
      <c r="M3" s="56" t="s">
        <v>15</v>
      </c>
    </row>
    <row r="5" spans="31:42" ht="15.75">
      <c r="AE5" s="57" t="s">
        <v>51</v>
      </c>
      <c r="AF5" s="58">
        <f>C2</f>
        <v>1</v>
      </c>
      <c r="AG5" s="59"/>
      <c r="AK5" s="99" t="s">
        <v>52</v>
      </c>
      <c r="AL5" s="99" t="s">
        <v>53</v>
      </c>
      <c r="AM5" s="99" t="s">
        <v>54</v>
      </c>
      <c r="AN5" s="99" t="s">
        <v>55</v>
      </c>
      <c r="AO5" s="99" t="s">
        <v>56</v>
      </c>
      <c r="AP5" s="99" t="s">
        <v>12</v>
      </c>
    </row>
    <row r="6" spans="31:42" ht="15.75">
      <c r="AE6" s="60" t="s">
        <v>50</v>
      </c>
      <c r="AF6" s="61">
        <f>1.7+0.04*C2+0.5*(-1)^AF5</f>
        <v>1.24</v>
      </c>
      <c r="AG6" s="62"/>
      <c r="AK6" s="97">
        <v>1</v>
      </c>
      <c r="AL6" s="98">
        <f>5+$AK6/20</f>
        <v>5.05</v>
      </c>
      <c r="AM6" s="98">
        <f>AL6+AP6*3</f>
        <v>8.77</v>
      </c>
      <c r="AN6" s="98">
        <f>AM6+AQ6*6</f>
        <v>8.77</v>
      </c>
      <c r="AO6" s="98">
        <f>AN6+AR6*9</f>
        <v>8.77</v>
      </c>
      <c r="AP6" s="98">
        <f>1.7+0.04*AK6+0.5*(-1)^AK6</f>
        <v>1.24</v>
      </c>
    </row>
    <row r="7" spans="29:42" ht="15.75">
      <c r="AC7" s="63" t="s">
        <v>2</v>
      </c>
      <c r="AD7" s="63">
        <v>1</v>
      </c>
      <c r="AE7" s="64" t="s">
        <v>48</v>
      </c>
      <c r="AF7" s="65">
        <f>5+C2/20</f>
        <v>5.05</v>
      </c>
      <c r="AG7" s="66"/>
      <c r="AK7" s="97">
        <v>2</v>
      </c>
      <c r="AL7" s="98">
        <f aca="true" t="shared" si="0" ref="AL7:AL65">5+$AK7/20</f>
        <v>5.1</v>
      </c>
      <c r="AM7" s="98">
        <f>AL7+AP7*3</f>
        <v>11.940000000000001</v>
      </c>
      <c r="AN7" s="98">
        <f>AM7+AQ7*6</f>
        <v>11.940000000000001</v>
      </c>
      <c r="AO7" s="98">
        <f>AN7+AR7*9</f>
        <v>11.940000000000001</v>
      </c>
      <c r="AP7" s="98">
        <f aca="true" t="shared" si="1" ref="AP7:AP65">1.7+0.04*AK7+0.5*(-1)^AK7</f>
        <v>2.2800000000000002</v>
      </c>
    </row>
    <row r="8" spans="29:42" ht="15.75">
      <c r="AC8" s="63" t="s">
        <v>3</v>
      </c>
      <c r="AD8" s="63" t="s">
        <v>1</v>
      </c>
      <c r="AE8" s="63" t="s">
        <v>0</v>
      </c>
      <c r="AF8" s="67" t="s">
        <v>8</v>
      </c>
      <c r="AG8" s="68"/>
      <c r="AK8" s="97">
        <v>3</v>
      </c>
      <c r="AL8" s="98">
        <f t="shared" si="0"/>
        <v>5.15</v>
      </c>
      <c r="AM8" s="98">
        <f>AL8+AP8*3</f>
        <v>9.11</v>
      </c>
      <c r="AN8" s="98">
        <f>AM8+AQ8*6</f>
        <v>9.11</v>
      </c>
      <c r="AO8" s="98">
        <f>AN8+AR8*9</f>
        <v>9.11</v>
      </c>
      <c r="AP8" s="98">
        <f t="shared" si="1"/>
        <v>1.3199999999999998</v>
      </c>
    </row>
    <row r="9" spans="29:42" ht="15.75">
      <c r="AC9" s="63">
        <v>0</v>
      </c>
      <c r="AD9" s="63">
        <f aca="true" t="shared" si="2" ref="AD9:AD20">AC9*$AD$7</f>
        <v>0</v>
      </c>
      <c r="AE9" s="69">
        <f>$AF$7*AD9+0.5*$AF$6*AD9^2</f>
        <v>0</v>
      </c>
      <c r="AF9" s="67" t="s">
        <v>9</v>
      </c>
      <c r="AG9" s="68" t="s">
        <v>11</v>
      </c>
      <c r="AK9" s="97">
        <v>4</v>
      </c>
      <c r="AL9" s="98">
        <f t="shared" si="0"/>
        <v>5.2</v>
      </c>
      <c r="AM9" s="98">
        <f>AL9+AP9*3</f>
        <v>12.280000000000001</v>
      </c>
      <c r="AN9" s="98">
        <f>AM9+AQ9*6</f>
        <v>12.280000000000001</v>
      </c>
      <c r="AO9" s="98">
        <f>AN9+AR9*9</f>
        <v>12.280000000000001</v>
      </c>
      <c r="AP9" s="98">
        <f t="shared" si="1"/>
        <v>2.36</v>
      </c>
    </row>
    <row r="10" spans="11:42" ht="15.75">
      <c r="K10" s="70"/>
      <c r="AC10" s="63">
        <v>1</v>
      </c>
      <c r="AD10" s="63">
        <f t="shared" si="2"/>
        <v>1</v>
      </c>
      <c r="AE10" s="69">
        <f aca="true" t="shared" si="3" ref="AE10:AE20">$AF$7*AD10+0.5*$AF$6*AD10^2</f>
        <v>5.67</v>
      </c>
      <c r="AF10" s="71">
        <f>G2</f>
        <v>10</v>
      </c>
      <c r="AG10" s="72">
        <f>$AF$7*AF10+1/2*$AF$6*G2^2</f>
        <v>112.5</v>
      </c>
      <c r="AK10" s="97">
        <v>5</v>
      </c>
      <c r="AL10" s="98">
        <f t="shared" si="0"/>
        <v>5.25</v>
      </c>
      <c r="AM10" s="98">
        <f aca="true" t="shared" si="4" ref="AM10:AM65">AL10+AP10*3</f>
        <v>9.45</v>
      </c>
      <c r="AN10" s="98">
        <f aca="true" t="shared" si="5" ref="AN10:AN65">AM10+AQ10*6</f>
        <v>9.45</v>
      </c>
      <c r="AO10" s="98">
        <f aca="true" t="shared" si="6" ref="AO10:AO65">AN10+AR10*9</f>
        <v>9.45</v>
      </c>
      <c r="AP10" s="98">
        <f t="shared" si="1"/>
        <v>1.4</v>
      </c>
    </row>
    <row r="11" spans="29:42" ht="15.75">
      <c r="AC11" s="63">
        <v>2</v>
      </c>
      <c r="AD11" s="63">
        <f t="shared" si="2"/>
        <v>2</v>
      </c>
      <c r="AE11" s="69">
        <f t="shared" si="3"/>
        <v>12.58</v>
      </c>
      <c r="AF11" s="73" t="s">
        <v>4</v>
      </c>
      <c r="AG11" s="74"/>
      <c r="AH11" s="84"/>
      <c r="AI11" s="59"/>
      <c r="AJ11" s="95"/>
      <c r="AK11" s="97">
        <v>6</v>
      </c>
      <c r="AL11" s="98">
        <f t="shared" si="0"/>
        <v>5.3</v>
      </c>
      <c r="AM11" s="98">
        <f t="shared" si="4"/>
        <v>12.620000000000001</v>
      </c>
      <c r="AN11" s="98">
        <f t="shared" si="5"/>
        <v>12.620000000000001</v>
      </c>
      <c r="AO11" s="98">
        <f t="shared" si="6"/>
        <v>12.620000000000001</v>
      </c>
      <c r="AP11" s="98">
        <f t="shared" si="1"/>
        <v>2.44</v>
      </c>
    </row>
    <row r="12" spans="29:42" ht="15.75">
      <c r="AC12" s="63">
        <v>3</v>
      </c>
      <c r="AD12" s="63">
        <f t="shared" si="2"/>
        <v>3</v>
      </c>
      <c r="AE12" s="69">
        <f t="shared" si="3"/>
        <v>20.729999999999997</v>
      </c>
      <c r="AF12" s="75" t="s">
        <v>64</v>
      </c>
      <c r="AG12" s="76">
        <v>184</v>
      </c>
      <c r="AH12" s="85"/>
      <c r="AI12" s="62"/>
      <c r="AJ12" s="95"/>
      <c r="AK12" s="97">
        <v>7</v>
      </c>
      <c r="AL12" s="98">
        <f t="shared" si="0"/>
        <v>5.35</v>
      </c>
      <c r="AM12" s="98">
        <f t="shared" si="4"/>
        <v>9.79</v>
      </c>
      <c r="AN12" s="98">
        <f t="shared" si="5"/>
        <v>9.79</v>
      </c>
      <c r="AO12" s="98">
        <f t="shared" si="6"/>
        <v>9.79</v>
      </c>
      <c r="AP12" s="98">
        <f t="shared" si="1"/>
        <v>1.48</v>
      </c>
    </row>
    <row r="13" spans="29:42" ht="15.75">
      <c r="AC13" s="63">
        <v>4</v>
      </c>
      <c r="AD13" s="63">
        <f t="shared" si="2"/>
        <v>4</v>
      </c>
      <c r="AE13" s="69">
        <f>$AF$7*AD13+0.5*$AF$6*AD13^2</f>
        <v>30.119999999999997</v>
      </c>
      <c r="AF13" s="75" t="s">
        <v>31</v>
      </c>
      <c r="AG13" s="77">
        <f>AG12/10</f>
        <v>18.4</v>
      </c>
      <c r="AH13" s="86" t="s">
        <v>32</v>
      </c>
      <c r="AI13" s="87">
        <f>AF7+AF6*G2</f>
        <v>17.45</v>
      </c>
      <c r="AJ13" s="96"/>
      <c r="AK13" s="97">
        <v>8</v>
      </c>
      <c r="AL13" s="98">
        <f t="shared" si="0"/>
        <v>5.4</v>
      </c>
      <c r="AM13" s="98">
        <f t="shared" si="4"/>
        <v>12.96</v>
      </c>
      <c r="AN13" s="98">
        <f t="shared" si="5"/>
        <v>12.96</v>
      </c>
      <c r="AO13" s="98">
        <f t="shared" si="6"/>
        <v>12.96</v>
      </c>
      <c r="AP13" s="98">
        <f t="shared" si="1"/>
        <v>2.52</v>
      </c>
    </row>
    <row r="14" spans="29:42" ht="15.75">
      <c r="AC14" s="63">
        <v>5</v>
      </c>
      <c r="AD14" s="63">
        <f t="shared" si="2"/>
        <v>5</v>
      </c>
      <c r="AE14" s="69">
        <f t="shared" si="3"/>
        <v>40.75</v>
      </c>
      <c r="AF14" s="78" t="s">
        <v>6</v>
      </c>
      <c r="AG14" s="79" t="s">
        <v>7</v>
      </c>
      <c r="AH14" s="85"/>
      <c r="AI14" s="62"/>
      <c r="AJ14" s="95"/>
      <c r="AK14" s="97">
        <v>9</v>
      </c>
      <c r="AL14" s="98">
        <f t="shared" si="0"/>
        <v>5.45</v>
      </c>
      <c r="AM14" s="98">
        <f t="shared" si="4"/>
        <v>10.129999999999999</v>
      </c>
      <c r="AN14" s="98">
        <f t="shared" si="5"/>
        <v>10.129999999999999</v>
      </c>
      <c r="AO14" s="98">
        <f t="shared" si="6"/>
        <v>10.129999999999999</v>
      </c>
      <c r="AP14" s="98">
        <f t="shared" si="1"/>
        <v>1.56</v>
      </c>
    </row>
    <row r="15" spans="29:42" ht="15.75">
      <c r="AC15" s="63">
        <v>6</v>
      </c>
      <c r="AD15" s="63">
        <f t="shared" si="2"/>
        <v>6</v>
      </c>
      <c r="AE15" s="69">
        <f t="shared" si="3"/>
        <v>52.62</v>
      </c>
      <c r="AF15" s="78">
        <v>0</v>
      </c>
      <c r="AG15" s="79">
        <f>$AG$13*AF15+$AG$10-$AG$13*$G$2</f>
        <v>-71.5</v>
      </c>
      <c r="AH15" s="85"/>
      <c r="AI15" s="62"/>
      <c r="AJ15" s="95"/>
      <c r="AK15" s="97">
        <v>10</v>
      </c>
      <c r="AL15" s="98">
        <f t="shared" si="0"/>
        <v>5.5</v>
      </c>
      <c r="AM15" s="98">
        <f t="shared" si="4"/>
        <v>13.3</v>
      </c>
      <c r="AN15" s="98">
        <f t="shared" si="5"/>
        <v>13.3</v>
      </c>
      <c r="AO15" s="98">
        <f t="shared" si="6"/>
        <v>13.3</v>
      </c>
      <c r="AP15" s="98">
        <f t="shared" si="1"/>
        <v>2.6</v>
      </c>
    </row>
    <row r="16" spans="29:42" ht="15.75">
      <c r="AC16" s="63">
        <v>7</v>
      </c>
      <c r="AD16" s="63">
        <f t="shared" si="2"/>
        <v>7</v>
      </c>
      <c r="AE16" s="69">
        <f t="shared" si="3"/>
        <v>65.73</v>
      </c>
      <c r="AF16" s="80">
        <f>IF(AG13=0,11,MIN(11,AF17))</f>
        <v>10.982065217391305</v>
      </c>
      <c r="AG16" s="81">
        <f>$AG$13*AF16+$AG$10-$AG$13*$G$2</f>
        <v>130.57</v>
      </c>
      <c r="AH16" s="88"/>
      <c r="AI16" s="66"/>
      <c r="AJ16" s="95"/>
      <c r="AK16" s="97">
        <v>11</v>
      </c>
      <c r="AL16" s="98">
        <f t="shared" si="0"/>
        <v>5.55</v>
      </c>
      <c r="AM16" s="98">
        <f t="shared" si="4"/>
        <v>10.469999999999999</v>
      </c>
      <c r="AN16" s="98">
        <f t="shared" si="5"/>
        <v>10.469999999999999</v>
      </c>
      <c r="AO16" s="98">
        <f t="shared" si="6"/>
        <v>10.469999999999999</v>
      </c>
      <c r="AP16" s="98">
        <f t="shared" si="1"/>
        <v>1.6400000000000001</v>
      </c>
    </row>
    <row r="17" spans="3:42" ht="15.75">
      <c r="C17" s="82"/>
      <c r="D17" s="82"/>
      <c r="E17" s="82"/>
      <c r="AC17" s="63">
        <v>8</v>
      </c>
      <c r="AD17" s="63">
        <f t="shared" si="2"/>
        <v>8</v>
      </c>
      <c r="AE17" s="69">
        <f t="shared" si="3"/>
        <v>80.08</v>
      </c>
      <c r="AF17" s="83">
        <f>(AG17-AG15)/AG13</f>
        <v>10.982065217391305</v>
      </c>
      <c r="AG17" s="83">
        <f>AE20</f>
        <v>130.57</v>
      </c>
      <c r="AK17" s="97">
        <v>12</v>
      </c>
      <c r="AL17" s="98">
        <f t="shared" si="0"/>
        <v>5.6</v>
      </c>
      <c r="AM17" s="98">
        <f t="shared" si="4"/>
        <v>13.639999999999999</v>
      </c>
      <c r="AN17" s="98">
        <f t="shared" si="5"/>
        <v>13.639999999999999</v>
      </c>
      <c r="AO17" s="98">
        <f t="shared" si="6"/>
        <v>13.639999999999999</v>
      </c>
      <c r="AP17" s="98">
        <f t="shared" si="1"/>
        <v>2.6799999999999997</v>
      </c>
    </row>
    <row r="18" spans="3:42" ht="15.75">
      <c r="C18" s="82"/>
      <c r="D18" s="82"/>
      <c r="E18" s="82"/>
      <c r="AC18" s="63">
        <v>9</v>
      </c>
      <c r="AD18" s="63">
        <f t="shared" si="2"/>
        <v>9</v>
      </c>
      <c r="AE18" s="69">
        <f t="shared" si="3"/>
        <v>95.66999999999999</v>
      </c>
      <c r="AF18" s="84" t="s">
        <v>49</v>
      </c>
      <c r="AG18" s="59"/>
      <c r="AK18" s="97">
        <v>13</v>
      </c>
      <c r="AL18" s="98">
        <f t="shared" si="0"/>
        <v>5.65</v>
      </c>
      <c r="AM18" s="98">
        <f t="shared" si="4"/>
        <v>10.809999999999999</v>
      </c>
      <c r="AN18" s="98">
        <f t="shared" si="5"/>
        <v>10.809999999999999</v>
      </c>
      <c r="AO18" s="98">
        <f t="shared" si="6"/>
        <v>10.809999999999999</v>
      </c>
      <c r="AP18" s="98">
        <f t="shared" si="1"/>
        <v>1.7199999999999998</v>
      </c>
    </row>
    <row r="19" spans="3:42" ht="15.75">
      <c r="C19" s="82"/>
      <c r="D19" s="82"/>
      <c r="E19" s="82"/>
      <c r="AC19" s="63">
        <v>10</v>
      </c>
      <c r="AD19" s="63">
        <f t="shared" si="2"/>
        <v>10</v>
      </c>
      <c r="AE19" s="69">
        <f t="shared" si="3"/>
        <v>112.5</v>
      </c>
      <c r="AF19" s="89" t="s">
        <v>9</v>
      </c>
      <c r="AG19" s="90" t="s">
        <v>11</v>
      </c>
      <c r="AK19" s="97">
        <v>14</v>
      </c>
      <c r="AL19" s="98">
        <f t="shared" si="0"/>
        <v>5.7</v>
      </c>
      <c r="AM19" s="98">
        <f t="shared" si="4"/>
        <v>13.98</v>
      </c>
      <c r="AN19" s="98">
        <f t="shared" si="5"/>
        <v>13.98</v>
      </c>
      <c r="AO19" s="98">
        <f t="shared" si="6"/>
        <v>13.98</v>
      </c>
      <c r="AP19" s="98">
        <f t="shared" si="1"/>
        <v>2.76</v>
      </c>
    </row>
    <row r="20" spans="3:42" ht="15.75">
      <c r="C20" s="82"/>
      <c r="D20" s="82"/>
      <c r="E20" s="82"/>
      <c r="AC20" s="63">
        <v>11</v>
      </c>
      <c r="AD20" s="63">
        <f t="shared" si="2"/>
        <v>11</v>
      </c>
      <c r="AE20" s="69">
        <f t="shared" si="3"/>
        <v>130.57</v>
      </c>
      <c r="AF20" s="89">
        <v>0</v>
      </c>
      <c r="AG20" s="90">
        <v>0</v>
      </c>
      <c r="AK20" s="97">
        <v>15</v>
      </c>
      <c r="AL20" s="98">
        <f t="shared" si="0"/>
        <v>5.75</v>
      </c>
      <c r="AM20" s="98">
        <f t="shared" si="4"/>
        <v>11.149999999999999</v>
      </c>
      <c r="AN20" s="98">
        <f t="shared" si="5"/>
        <v>11.149999999999999</v>
      </c>
      <c r="AO20" s="98">
        <f t="shared" si="6"/>
        <v>11.149999999999999</v>
      </c>
      <c r="AP20" s="98">
        <f t="shared" si="1"/>
        <v>1.7999999999999998</v>
      </c>
    </row>
    <row r="21" spans="3:42" ht="15.75">
      <c r="C21" s="82"/>
      <c r="D21" s="82"/>
      <c r="E21" s="82"/>
      <c r="AF21" s="89">
        <v>11</v>
      </c>
      <c r="AG21" s="90">
        <v>0</v>
      </c>
      <c r="AK21" s="97">
        <v>16</v>
      </c>
      <c r="AL21" s="98">
        <f t="shared" si="0"/>
        <v>5.8</v>
      </c>
      <c r="AM21" s="98">
        <f t="shared" si="4"/>
        <v>14.32</v>
      </c>
      <c r="AN21" s="98">
        <f t="shared" si="5"/>
        <v>14.32</v>
      </c>
      <c r="AO21" s="98">
        <f t="shared" si="6"/>
        <v>14.32</v>
      </c>
      <c r="AP21" s="98">
        <f t="shared" si="1"/>
        <v>2.84</v>
      </c>
    </row>
    <row r="22" spans="3:42" ht="15.75">
      <c r="C22" s="82"/>
      <c r="D22" s="82"/>
      <c r="E22" s="82"/>
      <c r="AF22" s="89">
        <v>11</v>
      </c>
      <c r="AG22" s="91">
        <f>$AF$7*AF22+(0.6+0.02*$C$2)*AF22^2</f>
        <v>130.57</v>
      </c>
      <c r="AK22" s="97">
        <v>17</v>
      </c>
      <c r="AL22" s="98">
        <f t="shared" si="0"/>
        <v>5.85</v>
      </c>
      <c r="AM22" s="98">
        <f t="shared" si="4"/>
        <v>11.489999999999998</v>
      </c>
      <c r="AN22" s="98">
        <f t="shared" si="5"/>
        <v>11.489999999999998</v>
      </c>
      <c r="AO22" s="98">
        <f t="shared" si="6"/>
        <v>11.489999999999998</v>
      </c>
      <c r="AP22" s="98">
        <f t="shared" si="1"/>
        <v>1.88</v>
      </c>
    </row>
    <row r="23" spans="3:42" ht="15.75">
      <c r="C23" s="82"/>
      <c r="D23" s="82"/>
      <c r="E23" s="82"/>
      <c r="AF23" s="89">
        <v>0</v>
      </c>
      <c r="AG23" s="92">
        <f>AG22</f>
        <v>130.57</v>
      </c>
      <c r="AK23" s="97">
        <v>18</v>
      </c>
      <c r="AL23" s="98">
        <f t="shared" si="0"/>
        <v>5.9</v>
      </c>
      <c r="AM23" s="98">
        <f t="shared" si="4"/>
        <v>14.66</v>
      </c>
      <c r="AN23" s="98">
        <f t="shared" si="5"/>
        <v>14.66</v>
      </c>
      <c r="AO23" s="98">
        <f t="shared" si="6"/>
        <v>14.66</v>
      </c>
      <c r="AP23" s="98">
        <f t="shared" si="1"/>
        <v>2.92</v>
      </c>
    </row>
    <row r="24" spans="3:42" ht="15.75">
      <c r="C24" s="82"/>
      <c r="D24" s="82"/>
      <c r="E24" s="82"/>
      <c r="AF24" s="93">
        <v>0</v>
      </c>
      <c r="AG24" s="94">
        <v>0</v>
      </c>
      <c r="AK24" s="97">
        <v>19</v>
      </c>
      <c r="AL24" s="98">
        <f t="shared" si="0"/>
        <v>5.95</v>
      </c>
      <c r="AM24" s="98">
        <f t="shared" si="4"/>
        <v>11.83</v>
      </c>
      <c r="AN24" s="98">
        <f t="shared" si="5"/>
        <v>11.83</v>
      </c>
      <c r="AO24" s="98">
        <f t="shared" si="6"/>
        <v>11.83</v>
      </c>
      <c r="AP24" s="98">
        <f t="shared" si="1"/>
        <v>1.96</v>
      </c>
    </row>
    <row r="25" spans="37:42" ht="15.75">
      <c r="AK25" s="97">
        <v>20</v>
      </c>
      <c r="AL25" s="98">
        <f t="shared" si="0"/>
        <v>6</v>
      </c>
      <c r="AM25" s="98">
        <f t="shared" si="4"/>
        <v>15</v>
      </c>
      <c r="AN25" s="98">
        <f t="shared" si="5"/>
        <v>15</v>
      </c>
      <c r="AO25" s="98">
        <f t="shared" si="6"/>
        <v>15</v>
      </c>
      <c r="AP25" s="98">
        <f t="shared" si="1"/>
        <v>3</v>
      </c>
    </row>
    <row r="26" spans="37:42" ht="15.75">
      <c r="AK26" s="97">
        <v>21</v>
      </c>
      <c r="AL26" s="98">
        <f t="shared" si="0"/>
        <v>6.05</v>
      </c>
      <c r="AM26" s="98">
        <f t="shared" si="4"/>
        <v>12.17</v>
      </c>
      <c r="AN26" s="98">
        <f t="shared" si="5"/>
        <v>12.17</v>
      </c>
      <c r="AO26" s="98">
        <f t="shared" si="6"/>
        <v>12.17</v>
      </c>
      <c r="AP26" s="98">
        <f t="shared" si="1"/>
        <v>2.04</v>
      </c>
    </row>
    <row r="27" spans="37:42" ht="15.75">
      <c r="AK27" s="97">
        <v>22</v>
      </c>
      <c r="AL27" s="98">
        <f t="shared" si="0"/>
        <v>6.1</v>
      </c>
      <c r="AM27" s="98">
        <f t="shared" si="4"/>
        <v>15.34</v>
      </c>
      <c r="AN27" s="98">
        <f t="shared" si="5"/>
        <v>15.34</v>
      </c>
      <c r="AO27" s="98">
        <f t="shared" si="6"/>
        <v>15.34</v>
      </c>
      <c r="AP27" s="98">
        <f t="shared" si="1"/>
        <v>3.08</v>
      </c>
    </row>
    <row r="28" spans="37:42" ht="15.75">
      <c r="AK28" s="97">
        <v>23</v>
      </c>
      <c r="AL28" s="98">
        <f t="shared" si="0"/>
        <v>6.15</v>
      </c>
      <c r="AM28" s="98">
        <f t="shared" si="4"/>
        <v>12.510000000000002</v>
      </c>
      <c r="AN28" s="98">
        <f t="shared" si="5"/>
        <v>12.510000000000002</v>
      </c>
      <c r="AO28" s="98">
        <f t="shared" si="6"/>
        <v>12.510000000000002</v>
      </c>
      <c r="AP28" s="98">
        <f t="shared" si="1"/>
        <v>2.12</v>
      </c>
    </row>
    <row r="29" spans="37:42" ht="15.75">
      <c r="AK29" s="97">
        <v>24</v>
      </c>
      <c r="AL29" s="98">
        <f t="shared" si="0"/>
        <v>6.2</v>
      </c>
      <c r="AM29" s="98">
        <f t="shared" si="4"/>
        <v>15.68</v>
      </c>
      <c r="AN29" s="98">
        <f t="shared" si="5"/>
        <v>15.68</v>
      </c>
      <c r="AO29" s="98">
        <f t="shared" si="6"/>
        <v>15.68</v>
      </c>
      <c r="AP29" s="98">
        <f t="shared" si="1"/>
        <v>3.16</v>
      </c>
    </row>
    <row r="30" spans="37:42" ht="15.75">
      <c r="AK30" s="97">
        <v>25</v>
      </c>
      <c r="AL30" s="98">
        <f t="shared" si="0"/>
        <v>6.25</v>
      </c>
      <c r="AM30" s="98">
        <f t="shared" si="4"/>
        <v>12.850000000000001</v>
      </c>
      <c r="AN30" s="98">
        <f t="shared" si="5"/>
        <v>12.850000000000001</v>
      </c>
      <c r="AO30" s="98">
        <f t="shared" si="6"/>
        <v>12.850000000000001</v>
      </c>
      <c r="AP30" s="98">
        <f t="shared" si="1"/>
        <v>2.2</v>
      </c>
    </row>
    <row r="31" spans="37:42" ht="15.75">
      <c r="AK31" s="97">
        <v>26</v>
      </c>
      <c r="AL31" s="98">
        <f t="shared" si="0"/>
        <v>6.3</v>
      </c>
      <c r="AM31" s="98">
        <f t="shared" si="4"/>
        <v>16.02</v>
      </c>
      <c r="AN31" s="98">
        <f t="shared" si="5"/>
        <v>16.02</v>
      </c>
      <c r="AO31" s="98">
        <f t="shared" si="6"/>
        <v>16.02</v>
      </c>
      <c r="AP31" s="98">
        <f t="shared" si="1"/>
        <v>3.24</v>
      </c>
    </row>
    <row r="32" spans="37:42" ht="15.75">
      <c r="AK32" s="97">
        <v>27</v>
      </c>
      <c r="AL32" s="98">
        <f t="shared" si="0"/>
        <v>6.35</v>
      </c>
      <c r="AM32" s="98">
        <f t="shared" si="4"/>
        <v>13.190000000000001</v>
      </c>
      <c r="AN32" s="98">
        <f t="shared" si="5"/>
        <v>13.190000000000001</v>
      </c>
      <c r="AO32" s="98">
        <f t="shared" si="6"/>
        <v>13.190000000000001</v>
      </c>
      <c r="AP32" s="98">
        <f t="shared" si="1"/>
        <v>2.2800000000000002</v>
      </c>
    </row>
    <row r="33" spans="37:42" ht="15.75">
      <c r="AK33" s="97">
        <v>28</v>
      </c>
      <c r="AL33" s="98">
        <f t="shared" si="0"/>
        <v>6.4</v>
      </c>
      <c r="AM33" s="98">
        <f t="shared" si="4"/>
        <v>16.36</v>
      </c>
      <c r="AN33" s="98">
        <f t="shared" si="5"/>
        <v>16.36</v>
      </c>
      <c r="AO33" s="98">
        <f t="shared" si="6"/>
        <v>16.36</v>
      </c>
      <c r="AP33" s="98">
        <f t="shared" si="1"/>
        <v>3.3200000000000003</v>
      </c>
    </row>
    <row r="34" spans="37:42" ht="15.75">
      <c r="AK34" s="97">
        <v>29</v>
      </c>
      <c r="AL34" s="98">
        <f t="shared" si="0"/>
        <v>6.45</v>
      </c>
      <c r="AM34" s="98">
        <f t="shared" si="4"/>
        <v>13.530000000000001</v>
      </c>
      <c r="AN34" s="98">
        <f t="shared" si="5"/>
        <v>13.530000000000001</v>
      </c>
      <c r="AO34" s="98">
        <f t="shared" si="6"/>
        <v>13.530000000000001</v>
      </c>
      <c r="AP34" s="98">
        <f t="shared" si="1"/>
        <v>2.36</v>
      </c>
    </row>
    <row r="35" spans="37:42" ht="15.75">
      <c r="AK35" s="97">
        <v>30</v>
      </c>
      <c r="AL35" s="98">
        <f t="shared" si="0"/>
        <v>6.5</v>
      </c>
      <c r="AM35" s="98">
        <f t="shared" si="4"/>
        <v>16.7</v>
      </c>
      <c r="AN35" s="98">
        <f t="shared" si="5"/>
        <v>16.7</v>
      </c>
      <c r="AO35" s="98">
        <f t="shared" si="6"/>
        <v>16.7</v>
      </c>
      <c r="AP35" s="98">
        <f t="shared" si="1"/>
        <v>3.4</v>
      </c>
    </row>
    <row r="36" spans="37:42" ht="15.75">
      <c r="AK36" s="97">
        <v>31</v>
      </c>
      <c r="AL36" s="98">
        <f t="shared" si="0"/>
        <v>6.55</v>
      </c>
      <c r="AM36" s="98">
        <f t="shared" si="4"/>
        <v>13.870000000000001</v>
      </c>
      <c r="AN36" s="98">
        <f t="shared" si="5"/>
        <v>13.870000000000001</v>
      </c>
      <c r="AO36" s="98">
        <f t="shared" si="6"/>
        <v>13.870000000000001</v>
      </c>
      <c r="AP36" s="98">
        <f t="shared" si="1"/>
        <v>2.44</v>
      </c>
    </row>
    <row r="37" spans="37:42" ht="15.75">
      <c r="AK37" s="97">
        <v>32</v>
      </c>
      <c r="AL37" s="98">
        <f t="shared" si="0"/>
        <v>6.6</v>
      </c>
      <c r="AM37" s="98">
        <f t="shared" si="4"/>
        <v>17.04</v>
      </c>
      <c r="AN37" s="98">
        <f t="shared" si="5"/>
        <v>17.04</v>
      </c>
      <c r="AO37" s="98">
        <f t="shared" si="6"/>
        <v>17.04</v>
      </c>
      <c r="AP37" s="98">
        <f t="shared" si="1"/>
        <v>3.48</v>
      </c>
    </row>
    <row r="38" spans="37:42" ht="15.75">
      <c r="AK38" s="97">
        <v>33</v>
      </c>
      <c r="AL38" s="98">
        <f t="shared" si="0"/>
        <v>6.65</v>
      </c>
      <c r="AM38" s="98">
        <f t="shared" si="4"/>
        <v>14.21</v>
      </c>
      <c r="AN38" s="98">
        <f t="shared" si="5"/>
        <v>14.21</v>
      </c>
      <c r="AO38" s="98">
        <f t="shared" si="6"/>
        <v>14.21</v>
      </c>
      <c r="AP38" s="98">
        <f t="shared" si="1"/>
        <v>2.52</v>
      </c>
    </row>
    <row r="39" spans="37:42" ht="15.75">
      <c r="AK39" s="97">
        <v>34</v>
      </c>
      <c r="AL39" s="98">
        <f t="shared" si="0"/>
        <v>6.7</v>
      </c>
      <c r="AM39" s="98">
        <f t="shared" si="4"/>
        <v>17.38</v>
      </c>
      <c r="AN39" s="98">
        <f t="shared" si="5"/>
        <v>17.38</v>
      </c>
      <c r="AO39" s="98">
        <f t="shared" si="6"/>
        <v>17.38</v>
      </c>
      <c r="AP39" s="98">
        <f t="shared" si="1"/>
        <v>3.56</v>
      </c>
    </row>
    <row r="40" spans="37:42" ht="15.75">
      <c r="AK40" s="97">
        <v>35</v>
      </c>
      <c r="AL40" s="98">
        <f t="shared" si="0"/>
        <v>6.75</v>
      </c>
      <c r="AM40" s="98">
        <f t="shared" si="4"/>
        <v>14.55</v>
      </c>
      <c r="AN40" s="98">
        <f t="shared" si="5"/>
        <v>14.55</v>
      </c>
      <c r="AO40" s="98">
        <f t="shared" si="6"/>
        <v>14.55</v>
      </c>
      <c r="AP40" s="98">
        <f t="shared" si="1"/>
        <v>2.6</v>
      </c>
    </row>
    <row r="41" spans="37:42" ht="15.75">
      <c r="AK41" s="97">
        <v>36</v>
      </c>
      <c r="AL41" s="98">
        <f t="shared" si="0"/>
        <v>6.8</v>
      </c>
      <c r="AM41" s="98">
        <f t="shared" si="4"/>
        <v>17.72</v>
      </c>
      <c r="AN41" s="98">
        <f t="shared" si="5"/>
        <v>17.72</v>
      </c>
      <c r="AO41" s="98">
        <f t="shared" si="6"/>
        <v>17.72</v>
      </c>
      <c r="AP41" s="98">
        <f t="shared" si="1"/>
        <v>3.6399999999999997</v>
      </c>
    </row>
    <row r="42" spans="37:42" ht="15.75">
      <c r="AK42" s="97">
        <v>37</v>
      </c>
      <c r="AL42" s="98">
        <f t="shared" si="0"/>
        <v>6.85</v>
      </c>
      <c r="AM42" s="98">
        <f t="shared" si="4"/>
        <v>14.889999999999999</v>
      </c>
      <c r="AN42" s="98">
        <f t="shared" si="5"/>
        <v>14.889999999999999</v>
      </c>
      <c r="AO42" s="98">
        <f t="shared" si="6"/>
        <v>14.889999999999999</v>
      </c>
      <c r="AP42" s="98">
        <f t="shared" si="1"/>
        <v>2.6799999999999997</v>
      </c>
    </row>
    <row r="43" spans="37:42" ht="15.75">
      <c r="AK43" s="97">
        <v>38</v>
      </c>
      <c r="AL43" s="98">
        <f t="shared" si="0"/>
        <v>6.9</v>
      </c>
      <c r="AM43" s="98">
        <f t="shared" si="4"/>
        <v>18.060000000000002</v>
      </c>
      <c r="AN43" s="98">
        <f t="shared" si="5"/>
        <v>18.060000000000002</v>
      </c>
      <c r="AO43" s="98">
        <f t="shared" si="6"/>
        <v>18.060000000000002</v>
      </c>
      <c r="AP43" s="98">
        <f t="shared" si="1"/>
        <v>3.7199999999999998</v>
      </c>
    </row>
    <row r="44" spans="37:42" ht="15.75">
      <c r="AK44" s="97">
        <v>39</v>
      </c>
      <c r="AL44" s="98">
        <f t="shared" si="0"/>
        <v>6.95</v>
      </c>
      <c r="AM44" s="98">
        <f t="shared" si="4"/>
        <v>15.23</v>
      </c>
      <c r="AN44" s="98">
        <f t="shared" si="5"/>
        <v>15.23</v>
      </c>
      <c r="AO44" s="98">
        <f t="shared" si="6"/>
        <v>15.23</v>
      </c>
      <c r="AP44" s="98">
        <f t="shared" si="1"/>
        <v>2.76</v>
      </c>
    </row>
    <row r="45" spans="37:42" ht="15.75">
      <c r="AK45" s="97">
        <v>40</v>
      </c>
      <c r="AL45" s="98">
        <f t="shared" si="0"/>
        <v>7</v>
      </c>
      <c r="AM45" s="98">
        <f t="shared" si="4"/>
        <v>18.4</v>
      </c>
      <c r="AN45" s="98">
        <f t="shared" si="5"/>
        <v>18.4</v>
      </c>
      <c r="AO45" s="98">
        <f t="shared" si="6"/>
        <v>18.4</v>
      </c>
      <c r="AP45" s="98">
        <f t="shared" si="1"/>
        <v>3.8</v>
      </c>
    </row>
    <row r="46" spans="37:42" ht="15.75">
      <c r="AK46" s="97">
        <v>41</v>
      </c>
      <c r="AL46" s="98">
        <f t="shared" si="0"/>
        <v>7.05</v>
      </c>
      <c r="AM46" s="98">
        <f t="shared" si="4"/>
        <v>15.57</v>
      </c>
      <c r="AN46" s="98">
        <f t="shared" si="5"/>
        <v>15.57</v>
      </c>
      <c r="AO46" s="98">
        <f t="shared" si="6"/>
        <v>15.57</v>
      </c>
      <c r="AP46" s="98">
        <f t="shared" si="1"/>
        <v>2.84</v>
      </c>
    </row>
    <row r="47" spans="37:42" ht="15.75">
      <c r="AK47" s="97">
        <v>42</v>
      </c>
      <c r="AL47" s="98">
        <f t="shared" si="0"/>
        <v>7.1</v>
      </c>
      <c r="AM47" s="98">
        <f t="shared" si="4"/>
        <v>18.740000000000002</v>
      </c>
      <c r="AN47" s="98">
        <f t="shared" si="5"/>
        <v>18.740000000000002</v>
      </c>
      <c r="AO47" s="98">
        <f t="shared" si="6"/>
        <v>18.740000000000002</v>
      </c>
      <c r="AP47" s="98">
        <f t="shared" si="1"/>
        <v>3.88</v>
      </c>
    </row>
    <row r="48" spans="37:42" ht="15.75">
      <c r="AK48" s="97">
        <v>43</v>
      </c>
      <c r="AL48" s="98">
        <f t="shared" si="0"/>
        <v>7.15</v>
      </c>
      <c r="AM48" s="98">
        <f t="shared" si="4"/>
        <v>15.91</v>
      </c>
      <c r="AN48" s="98">
        <f t="shared" si="5"/>
        <v>15.91</v>
      </c>
      <c r="AO48" s="98">
        <f t="shared" si="6"/>
        <v>15.91</v>
      </c>
      <c r="AP48" s="98">
        <f t="shared" si="1"/>
        <v>2.92</v>
      </c>
    </row>
    <row r="49" spans="37:42" ht="15.75">
      <c r="AK49" s="97">
        <v>44</v>
      </c>
      <c r="AL49" s="98">
        <f t="shared" si="0"/>
        <v>7.2</v>
      </c>
      <c r="AM49" s="98">
        <f t="shared" si="4"/>
        <v>19.08</v>
      </c>
      <c r="AN49" s="98">
        <f t="shared" si="5"/>
        <v>19.08</v>
      </c>
      <c r="AO49" s="98">
        <f t="shared" si="6"/>
        <v>19.08</v>
      </c>
      <c r="AP49" s="98">
        <f t="shared" si="1"/>
        <v>3.96</v>
      </c>
    </row>
    <row r="50" spans="37:42" ht="15.75">
      <c r="AK50" s="97">
        <v>45</v>
      </c>
      <c r="AL50" s="98">
        <f t="shared" si="0"/>
        <v>7.25</v>
      </c>
      <c r="AM50" s="98">
        <f t="shared" si="4"/>
        <v>16.25</v>
      </c>
      <c r="AN50" s="98">
        <f t="shared" si="5"/>
        <v>16.25</v>
      </c>
      <c r="AO50" s="98">
        <f t="shared" si="6"/>
        <v>16.25</v>
      </c>
      <c r="AP50" s="98">
        <f t="shared" si="1"/>
        <v>3</v>
      </c>
    </row>
    <row r="51" spans="37:42" ht="15.75">
      <c r="AK51" s="97">
        <v>46</v>
      </c>
      <c r="AL51" s="98">
        <f t="shared" si="0"/>
        <v>7.3</v>
      </c>
      <c r="AM51" s="98">
        <f t="shared" si="4"/>
        <v>19.42</v>
      </c>
      <c r="AN51" s="98">
        <f t="shared" si="5"/>
        <v>19.42</v>
      </c>
      <c r="AO51" s="98">
        <f t="shared" si="6"/>
        <v>19.42</v>
      </c>
      <c r="AP51" s="98">
        <f t="shared" si="1"/>
        <v>4.04</v>
      </c>
    </row>
    <row r="52" spans="37:42" ht="15.75">
      <c r="AK52" s="97">
        <v>47</v>
      </c>
      <c r="AL52" s="98">
        <f t="shared" si="0"/>
        <v>7.35</v>
      </c>
      <c r="AM52" s="98">
        <f t="shared" si="4"/>
        <v>16.59</v>
      </c>
      <c r="AN52" s="98">
        <f t="shared" si="5"/>
        <v>16.59</v>
      </c>
      <c r="AO52" s="98">
        <f t="shared" si="6"/>
        <v>16.59</v>
      </c>
      <c r="AP52" s="98">
        <f t="shared" si="1"/>
        <v>3.08</v>
      </c>
    </row>
    <row r="53" spans="37:42" ht="15.75">
      <c r="AK53" s="97">
        <v>48</v>
      </c>
      <c r="AL53" s="98">
        <f t="shared" si="0"/>
        <v>7.4</v>
      </c>
      <c r="AM53" s="98">
        <f t="shared" si="4"/>
        <v>19.759999999999998</v>
      </c>
      <c r="AN53" s="98">
        <f t="shared" si="5"/>
        <v>19.759999999999998</v>
      </c>
      <c r="AO53" s="98">
        <f t="shared" si="6"/>
        <v>19.759999999999998</v>
      </c>
      <c r="AP53" s="98">
        <f t="shared" si="1"/>
        <v>4.12</v>
      </c>
    </row>
    <row r="54" spans="37:42" ht="15.75">
      <c r="AK54" s="97">
        <v>49</v>
      </c>
      <c r="AL54" s="98">
        <f t="shared" si="0"/>
        <v>7.45</v>
      </c>
      <c r="AM54" s="98">
        <f t="shared" si="4"/>
        <v>16.93</v>
      </c>
      <c r="AN54" s="98">
        <f t="shared" si="5"/>
        <v>16.93</v>
      </c>
      <c r="AO54" s="98">
        <f t="shared" si="6"/>
        <v>16.93</v>
      </c>
      <c r="AP54" s="98">
        <f t="shared" si="1"/>
        <v>3.16</v>
      </c>
    </row>
    <row r="55" spans="37:42" ht="15.75">
      <c r="AK55" s="97">
        <v>50</v>
      </c>
      <c r="AL55" s="98">
        <f t="shared" si="0"/>
        <v>7.5</v>
      </c>
      <c r="AM55" s="98">
        <f t="shared" si="4"/>
        <v>20.1</v>
      </c>
      <c r="AN55" s="98">
        <f t="shared" si="5"/>
        <v>20.1</v>
      </c>
      <c r="AO55" s="98">
        <f t="shared" si="6"/>
        <v>20.1</v>
      </c>
      <c r="AP55" s="98">
        <f t="shared" si="1"/>
        <v>4.2</v>
      </c>
    </row>
    <row r="56" spans="37:42" ht="15.75">
      <c r="AK56" s="97">
        <v>51</v>
      </c>
      <c r="AL56" s="98">
        <f t="shared" si="0"/>
        <v>7.55</v>
      </c>
      <c r="AM56" s="98">
        <f t="shared" si="4"/>
        <v>17.27</v>
      </c>
      <c r="AN56" s="98">
        <f t="shared" si="5"/>
        <v>17.27</v>
      </c>
      <c r="AO56" s="98">
        <f t="shared" si="6"/>
        <v>17.27</v>
      </c>
      <c r="AP56" s="98">
        <f t="shared" si="1"/>
        <v>3.24</v>
      </c>
    </row>
    <row r="57" spans="37:42" ht="15.75">
      <c r="AK57" s="97">
        <v>52</v>
      </c>
      <c r="AL57" s="98">
        <f t="shared" si="0"/>
        <v>7.6</v>
      </c>
      <c r="AM57" s="98">
        <f t="shared" si="4"/>
        <v>20.439999999999998</v>
      </c>
      <c r="AN57" s="98">
        <f t="shared" si="5"/>
        <v>20.439999999999998</v>
      </c>
      <c r="AO57" s="98">
        <f t="shared" si="6"/>
        <v>20.439999999999998</v>
      </c>
      <c r="AP57" s="98">
        <f t="shared" si="1"/>
        <v>4.28</v>
      </c>
    </row>
    <row r="58" spans="37:42" ht="15.75">
      <c r="AK58" s="97">
        <v>53</v>
      </c>
      <c r="AL58" s="98">
        <f t="shared" si="0"/>
        <v>7.65</v>
      </c>
      <c r="AM58" s="98">
        <f t="shared" si="4"/>
        <v>17.61</v>
      </c>
      <c r="AN58" s="98">
        <f t="shared" si="5"/>
        <v>17.61</v>
      </c>
      <c r="AO58" s="98">
        <f t="shared" si="6"/>
        <v>17.61</v>
      </c>
      <c r="AP58" s="98">
        <f t="shared" si="1"/>
        <v>3.3200000000000003</v>
      </c>
    </row>
    <row r="59" spans="37:42" ht="15.75">
      <c r="AK59" s="97">
        <v>54</v>
      </c>
      <c r="AL59" s="98">
        <f t="shared" si="0"/>
        <v>7.7</v>
      </c>
      <c r="AM59" s="98">
        <f t="shared" si="4"/>
        <v>20.78</v>
      </c>
      <c r="AN59" s="98">
        <f t="shared" si="5"/>
        <v>20.78</v>
      </c>
      <c r="AO59" s="98">
        <f t="shared" si="6"/>
        <v>20.78</v>
      </c>
      <c r="AP59" s="98">
        <f t="shared" si="1"/>
        <v>4.36</v>
      </c>
    </row>
    <row r="60" spans="37:42" ht="15.75">
      <c r="AK60" s="97">
        <v>55</v>
      </c>
      <c r="AL60" s="98">
        <f t="shared" si="0"/>
        <v>7.75</v>
      </c>
      <c r="AM60" s="98">
        <f t="shared" si="4"/>
        <v>17.950000000000003</v>
      </c>
      <c r="AN60" s="98">
        <f t="shared" si="5"/>
        <v>17.950000000000003</v>
      </c>
      <c r="AO60" s="98">
        <f t="shared" si="6"/>
        <v>17.950000000000003</v>
      </c>
      <c r="AP60" s="98">
        <f t="shared" si="1"/>
        <v>3.4000000000000004</v>
      </c>
    </row>
    <row r="61" spans="37:42" ht="15.75">
      <c r="AK61" s="97">
        <v>56</v>
      </c>
      <c r="AL61" s="98">
        <f t="shared" si="0"/>
        <v>7.8</v>
      </c>
      <c r="AM61" s="98">
        <f t="shared" si="4"/>
        <v>21.12</v>
      </c>
      <c r="AN61" s="98">
        <f t="shared" si="5"/>
        <v>21.12</v>
      </c>
      <c r="AO61" s="98">
        <f t="shared" si="6"/>
        <v>21.12</v>
      </c>
      <c r="AP61" s="98">
        <f t="shared" si="1"/>
        <v>4.44</v>
      </c>
    </row>
    <row r="62" spans="37:42" ht="15.75">
      <c r="AK62" s="97">
        <v>57</v>
      </c>
      <c r="AL62" s="98">
        <f t="shared" si="0"/>
        <v>7.85</v>
      </c>
      <c r="AM62" s="98">
        <f t="shared" si="4"/>
        <v>18.29</v>
      </c>
      <c r="AN62" s="98">
        <f t="shared" si="5"/>
        <v>18.29</v>
      </c>
      <c r="AO62" s="98">
        <f t="shared" si="6"/>
        <v>18.29</v>
      </c>
      <c r="AP62" s="98">
        <f t="shared" si="1"/>
        <v>3.4800000000000004</v>
      </c>
    </row>
    <row r="63" spans="37:42" ht="15.75">
      <c r="AK63" s="97">
        <v>58</v>
      </c>
      <c r="AL63" s="98">
        <f t="shared" si="0"/>
        <v>7.9</v>
      </c>
      <c r="AM63" s="98">
        <f t="shared" si="4"/>
        <v>21.46</v>
      </c>
      <c r="AN63" s="98">
        <f t="shared" si="5"/>
        <v>21.46</v>
      </c>
      <c r="AO63" s="98">
        <f t="shared" si="6"/>
        <v>21.46</v>
      </c>
      <c r="AP63" s="98">
        <f t="shared" si="1"/>
        <v>4.52</v>
      </c>
    </row>
    <row r="64" spans="37:42" ht="15.75">
      <c r="AK64" s="97">
        <v>59</v>
      </c>
      <c r="AL64" s="98">
        <f t="shared" si="0"/>
        <v>7.95</v>
      </c>
      <c r="AM64" s="98">
        <f t="shared" si="4"/>
        <v>18.63</v>
      </c>
      <c r="AN64" s="98">
        <f t="shared" si="5"/>
        <v>18.63</v>
      </c>
      <c r="AO64" s="98">
        <f t="shared" si="6"/>
        <v>18.63</v>
      </c>
      <c r="AP64" s="98">
        <f t="shared" si="1"/>
        <v>3.5599999999999996</v>
      </c>
    </row>
    <row r="65" spans="37:42" ht="15.75">
      <c r="AK65" s="97">
        <v>60</v>
      </c>
      <c r="AL65" s="98">
        <f t="shared" si="0"/>
        <v>8</v>
      </c>
      <c r="AM65" s="98">
        <f t="shared" si="4"/>
        <v>21.799999999999997</v>
      </c>
      <c r="AN65" s="98">
        <f t="shared" si="5"/>
        <v>21.799999999999997</v>
      </c>
      <c r="AO65" s="98">
        <f t="shared" si="6"/>
        <v>21.799999999999997</v>
      </c>
      <c r="AP65" s="98">
        <f t="shared" si="1"/>
        <v>4.6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F62"/>
  <sheetViews>
    <sheetView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01" customWidth="1"/>
  </cols>
  <sheetData>
    <row r="1" ht="15.75">
      <c r="A1" s="100" t="s">
        <v>57</v>
      </c>
    </row>
    <row r="2" spans="1:6" ht="15.75">
      <c r="A2" s="102" t="str">
        <f>Proef!AK5</f>
        <v>nr</v>
      </c>
      <c r="B2" s="102" t="str">
        <f>Proef!AL5</f>
        <v>v(0)</v>
      </c>
      <c r="C2" s="102" t="str">
        <f>Proef!AM5</f>
        <v>v(3)</v>
      </c>
      <c r="D2" s="102" t="str">
        <f>Proef!AN5</f>
        <v>v(6)</v>
      </c>
      <c r="E2" s="102" t="str">
        <f>Proef!AO5</f>
        <v>v(9)</v>
      </c>
      <c r="F2" s="102" t="str">
        <f>Proef!AP5</f>
        <v>a</v>
      </c>
    </row>
    <row r="3" spans="1:6" ht="15.75">
      <c r="A3" s="103">
        <f>Proef!AK6</f>
        <v>1</v>
      </c>
      <c r="B3" s="104">
        <f>Proef!AL6</f>
        <v>5.05</v>
      </c>
      <c r="C3" s="104">
        <f>Proef!AM6</f>
        <v>8.77</v>
      </c>
      <c r="D3" s="104">
        <f>Proef!AN6</f>
        <v>8.77</v>
      </c>
      <c r="E3" s="104">
        <f>Proef!AO6</f>
        <v>8.77</v>
      </c>
      <c r="F3" s="104">
        <f>Proef!AP6</f>
        <v>1.24</v>
      </c>
    </row>
    <row r="4" spans="1:6" ht="15.75">
      <c r="A4" s="103">
        <f>Proef!AK7</f>
        <v>2</v>
      </c>
      <c r="B4" s="104">
        <f>Proef!AL7</f>
        <v>5.1</v>
      </c>
      <c r="C4" s="104">
        <f>Proef!AM7</f>
        <v>11.940000000000001</v>
      </c>
      <c r="D4" s="104">
        <f>Proef!AN7</f>
        <v>11.940000000000001</v>
      </c>
      <c r="E4" s="104">
        <f>Proef!AO7</f>
        <v>11.940000000000001</v>
      </c>
      <c r="F4" s="104">
        <f>Proef!AP7</f>
        <v>2.2800000000000002</v>
      </c>
    </row>
    <row r="5" spans="1:6" ht="15.75">
      <c r="A5" s="103">
        <f>Proef!AK8</f>
        <v>3</v>
      </c>
      <c r="B5" s="104">
        <f>Proef!AL8</f>
        <v>5.15</v>
      </c>
      <c r="C5" s="104">
        <f>Proef!AM8</f>
        <v>9.11</v>
      </c>
      <c r="D5" s="104">
        <f>Proef!AN8</f>
        <v>9.11</v>
      </c>
      <c r="E5" s="104">
        <f>Proef!AO8</f>
        <v>9.11</v>
      </c>
      <c r="F5" s="104">
        <f>Proef!AP8</f>
        <v>1.3199999999999998</v>
      </c>
    </row>
    <row r="6" spans="1:6" ht="15.75">
      <c r="A6" s="103">
        <f>Proef!AK9</f>
        <v>4</v>
      </c>
      <c r="B6" s="104">
        <f>Proef!AL9</f>
        <v>5.2</v>
      </c>
      <c r="C6" s="104">
        <f>Proef!AM9</f>
        <v>12.280000000000001</v>
      </c>
      <c r="D6" s="104">
        <f>Proef!AN9</f>
        <v>12.280000000000001</v>
      </c>
      <c r="E6" s="104">
        <f>Proef!AO9</f>
        <v>12.280000000000001</v>
      </c>
      <c r="F6" s="104">
        <f>Proef!AP9</f>
        <v>2.36</v>
      </c>
    </row>
    <row r="7" spans="1:6" ht="15.75">
      <c r="A7" s="103">
        <f>Proef!AK10</f>
        <v>5</v>
      </c>
      <c r="B7" s="104">
        <f>Proef!AL10</f>
        <v>5.25</v>
      </c>
      <c r="C7" s="104">
        <f>Proef!AM10</f>
        <v>9.45</v>
      </c>
      <c r="D7" s="104">
        <f>Proef!AN10</f>
        <v>9.45</v>
      </c>
      <c r="E7" s="104">
        <f>Proef!AO10</f>
        <v>9.45</v>
      </c>
      <c r="F7" s="104">
        <f>Proef!AP10</f>
        <v>1.4</v>
      </c>
    </row>
    <row r="8" spans="1:6" ht="15.75">
      <c r="A8" s="103">
        <f>Proef!AK11</f>
        <v>6</v>
      </c>
      <c r="B8" s="104">
        <f>Proef!AL11</f>
        <v>5.3</v>
      </c>
      <c r="C8" s="104">
        <f>Proef!AM11</f>
        <v>12.620000000000001</v>
      </c>
      <c r="D8" s="104">
        <f>Proef!AN11</f>
        <v>12.620000000000001</v>
      </c>
      <c r="E8" s="104">
        <f>Proef!AO11</f>
        <v>12.620000000000001</v>
      </c>
      <c r="F8" s="104">
        <f>Proef!AP11</f>
        <v>2.44</v>
      </c>
    </row>
    <row r="9" spans="1:6" ht="15.75">
      <c r="A9" s="103">
        <f>Proef!AK12</f>
        <v>7</v>
      </c>
      <c r="B9" s="104">
        <f>Proef!AL12</f>
        <v>5.35</v>
      </c>
      <c r="C9" s="104">
        <f>Proef!AM12</f>
        <v>9.79</v>
      </c>
      <c r="D9" s="104">
        <f>Proef!AN12</f>
        <v>9.79</v>
      </c>
      <c r="E9" s="104">
        <f>Proef!AO12</f>
        <v>9.79</v>
      </c>
      <c r="F9" s="104">
        <f>Proef!AP12</f>
        <v>1.48</v>
      </c>
    </row>
    <row r="10" spans="1:6" ht="15.75">
      <c r="A10" s="103">
        <f>Proef!AK13</f>
        <v>8</v>
      </c>
      <c r="B10" s="104">
        <f>Proef!AL13</f>
        <v>5.4</v>
      </c>
      <c r="C10" s="104">
        <f>Proef!AM13</f>
        <v>12.96</v>
      </c>
      <c r="D10" s="104">
        <f>Proef!AN13</f>
        <v>12.96</v>
      </c>
      <c r="E10" s="104">
        <f>Proef!AO13</f>
        <v>12.96</v>
      </c>
      <c r="F10" s="104">
        <f>Proef!AP13</f>
        <v>2.52</v>
      </c>
    </row>
    <row r="11" spans="1:6" ht="15.75">
      <c r="A11" s="103">
        <f>Proef!AK14</f>
        <v>9</v>
      </c>
      <c r="B11" s="104">
        <f>Proef!AL14</f>
        <v>5.45</v>
      </c>
      <c r="C11" s="104">
        <f>Proef!AM14</f>
        <v>10.129999999999999</v>
      </c>
      <c r="D11" s="104">
        <f>Proef!AN14</f>
        <v>10.129999999999999</v>
      </c>
      <c r="E11" s="104">
        <f>Proef!AO14</f>
        <v>10.129999999999999</v>
      </c>
      <c r="F11" s="104">
        <f>Proef!AP14</f>
        <v>1.56</v>
      </c>
    </row>
    <row r="12" spans="1:6" ht="15.75">
      <c r="A12" s="103">
        <f>Proef!AK15</f>
        <v>10</v>
      </c>
      <c r="B12" s="104">
        <f>Proef!AL15</f>
        <v>5.5</v>
      </c>
      <c r="C12" s="104">
        <f>Proef!AM15</f>
        <v>13.3</v>
      </c>
      <c r="D12" s="104">
        <f>Proef!AN15</f>
        <v>13.3</v>
      </c>
      <c r="E12" s="104">
        <f>Proef!AO15</f>
        <v>13.3</v>
      </c>
      <c r="F12" s="104">
        <f>Proef!AP15</f>
        <v>2.6</v>
      </c>
    </row>
    <row r="13" spans="1:6" ht="15.75">
      <c r="A13" s="103">
        <f>Proef!AK16</f>
        <v>11</v>
      </c>
      <c r="B13" s="104">
        <f>Proef!AL16</f>
        <v>5.55</v>
      </c>
      <c r="C13" s="104">
        <f>Proef!AM16</f>
        <v>10.469999999999999</v>
      </c>
      <c r="D13" s="104">
        <f>Proef!AN16</f>
        <v>10.469999999999999</v>
      </c>
      <c r="E13" s="104">
        <f>Proef!AO16</f>
        <v>10.469999999999999</v>
      </c>
      <c r="F13" s="104">
        <f>Proef!AP16</f>
        <v>1.6400000000000001</v>
      </c>
    </row>
    <row r="14" spans="1:6" ht="15.75">
      <c r="A14" s="103">
        <f>Proef!AK17</f>
        <v>12</v>
      </c>
      <c r="B14" s="104">
        <f>Proef!AL17</f>
        <v>5.6</v>
      </c>
      <c r="C14" s="104">
        <f>Proef!AM17</f>
        <v>13.639999999999999</v>
      </c>
      <c r="D14" s="104">
        <f>Proef!AN17</f>
        <v>13.639999999999999</v>
      </c>
      <c r="E14" s="104">
        <f>Proef!AO17</f>
        <v>13.639999999999999</v>
      </c>
      <c r="F14" s="104">
        <f>Proef!AP17</f>
        <v>2.6799999999999997</v>
      </c>
    </row>
    <row r="15" spans="1:6" ht="15.75">
      <c r="A15" s="103">
        <f>Proef!AK18</f>
        <v>13</v>
      </c>
      <c r="B15" s="104">
        <f>Proef!AL18</f>
        <v>5.65</v>
      </c>
      <c r="C15" s="104">
        <f>Proef!AM18</f>
        <v>10.809999999999999</v>
      </c>
      <c r="D15" s="104">
        <f>Proef!AN18</f>
        <v>10.809999999999999</v>
      </c>
      <c r="E15" s="104">
        <f>Proef!AO18</f>
        <v>10.809999999999999</v>
      </c>
      <c r="F15" s="104">
        <f>Proef!AP18</f>
        <v>1.7199999999999998</v>
      </c>
    </row>
    <row r="16" spans="1:6" ht="15.75">
      <c r="A16" s="103">
        <f>Proef!AK19</f>
        <v>14</v>
      </c>
      <c r="B16" s="104">
        <f>Proef!AL19</f>
        <v>5.7</v>
      </c>
      <c r="C16" s="104">
        <f>Proef!AM19</f>
        <v>13.98</v>
      </c>
      <c r="D16" s="104">
        <f>Proef!AN19</f>
        <v>13.98</v>
      </c>
      <c r="E16" s="104">
        <f>Proef!AO19</f>
        <v>13.98</v>
      </c>
      <c r="F16" s="104">
        <f>Proef!AP19</f>
        <v>2.76</v>
      </c>
    </row>
    <row r="17" spans="1:6" ht="15.75">
      <c r="A17" s="103">
        <f>Proef!AK20</f>
        <v>15</v>
      </c>
      <c r="B17" s="104">
        <f>Proef!AL20</f>
        <v>5.75</v>
      </c>
      <c r="C17" s="104">
        <f>Proef!AM20</f>
        <v>11.149999999999999</v>
      </c>
      <c r="D17" s="104">
        <f>Proef!AN20</f>
        <v>11.149999999999999</v>
      </c>
      <c r="E17" s="104">
        <f>Proef!AO20</f>
        <v>11.149999999999999</v>
      </c>
      <c r="F17" s="104">
        <f>Proef!AP20</f>
        <v>1.7999999999999998</v>
      </c>
    </row>
    <row r="18" spans="1:6" ht="15.75">
      <c r="A18" s="103">
        <f>Proef!AK21</f>
        <v>16</v>
      </c>
      <c r="B18" s="104">
        <f>Proef!AL21</f>
        <v>5.8</v>
      </c>
      <c r="C18" s="104">
        <f>Proef!AM21</f>
        <v>14.32</v>
      </c>
      <c r="D18" s="104">
        <f>Proef!AN21</f>
        <v>14.32</v>
      </c>
      <c r="E18" s="104">
        <f>Proef!AO21</f>
        <v>14.32</v>
      </c>
      <c r="F18" s="104">
        <f>Proef!AP21</f>
        <v>2.84</v>
      </c>
    </row>
    <row r="19" spans="1:6" ht="15.75">
      <c r="A19" s="103">
        <f>Proef!AK22</f>
        <v>17</v>
      </c>
      <c r="B19" s="104">
        <f>Proef!AL22</f>
        <v>5.85</v>
      </c>
      <c r="C19" s="104">
        <f>Proef!AM22</f>
        <v>11.489999999999998</v>
      </c>
      <c r="D19" s="104">
        <f>Proef!AN22</f>
        <v>11.489999999999998</v>
      </c>
      <c r="E19" s="104">
        <f>Proef!AO22</f>
        <v>11.489999999999998</v>
      </c>
      <c r="F19" s="104">
        <f>Proef!AP22</f>
        <v>1.88</v>
      </c>
    </row>
    <row r="20" spans="1:6" ht="15.75">
      <c r="A20" s="103">
        <f>Proef!AK23</f>
        <v>18</v>
      </c>
      <c r="B20" s="104">
        <f>Proef!AL23</f>
        <v>5.9</v>
      </c>
      <c r="C20" s="104">
        <f>Proef!AM23</f>
        <v>14.66</v>
      </c>
      <c r="D20" s="104">
        <f>Proef!AN23</f>
        <v>14.66</v>
      </c>
      <c r="E20" s="104">
        <f>Proef!AO23</f>
        <v>14.66</v>
      </c>
      <c r="F20" s="104">
        <f>Proef!AP23</f>
        <v>2.92</v>
      </c>
    </row>
    <row r="21" spans="1:6" ht="15.75">
      <c r="A21" s="103">
        <f>Proef!AK24</f>
        <v>19</v>
      </c>
      <c r="B21" s="104">
        <f>Proef!AL24</f>
        <v>5.95</v>
      </c>
      <c r="C21" s="104">
        <f>Proef!AM24</f>
        <v>11.83</v>
      </c>
      <c r="D21" s="104">
        <f>Proef!AN24</f>
        <v>11.83</v>
      </c>
      <c r="E21" s="104">
        <f>Proef!AO24</f>
        <v>11.83</v>
      </c>
      <c r="F21" s="104">
        <f>Proef!AP24</f>
        <v>1.96</v>
      </c>
    </row>
    <row r="22" spans="1:6" ht="15.75">
      <c r="A22" s="103">
        <f>Proef!AK25</f>
        <v>20</v>
      </c>
      <c r="B22" s="104">
        <f>Proef!AL25</f>
        <v>6</v>
      </c>
      <c r="C22" s="104">
        <f>Proef!AM25</f>
        <v>15</v>
      </c>
      <c r="D22" s="104">
        <f>Proef!AN25</f>
        <v>15</v>
      </c>
      <c r="E22" s="104">
        <f>Proef!AO25</f>
        <v>15</v>
      </c>
      <c r="F22" s="104">
        <f>Proef!AP25</f>
        <v>3</v>
      </c>
    </row>
    <row r="23" spans="1:6" ht="15.75">
      <c r="A23" s="103">
        <f>Proef!AK26</f>
        <v>21</v>
      </c>
      <c r="B23" s="104">
        <f>Proef!AL26</f>
        <v>6.05</v>
      </c>
      <c r="C23" s="104">
        <f>Proef!AM26</f>
        <v>12.17</v>
      </c>
      <c r="D23" s="104">
        <f>Proef!AN26</f>
        <v>12.17</v>
      </c>
      <c r="E23" s="104">
        <f>Proef!AO26</f>
        <v>12.17</v>
      </c>
      <c r="F23" s="104">
        <f>Proef!AP26</f>
        <v>2.04</v>
      </c>
    </row>
    <row r="24" spans="1:6" ht="15.75">
      <c r="A24" s="103">
        <f>Proef!AK27</f>
        <v>22</v>
      </c>
      <c r="B24" s="104">
        <f>Proef!AL27</f>
        <v>6.1</v>
      </c>
      <c r="C24" s="104">
        <f>Proef!AM27</f>
        <v>15.34</v>
      </c>
      <c r="D24" s="104">
        <f>Proef!AN27</f>
        <v>15.34</v>
      </c>
      <c r="E24" s="104">
        <f>Proef!AO27</f>
        <v>15.34</v>
      </c>
      <c r="F24" s="104">
        <f>Proef!AP27</f>
        <v>3.08</v>
      </c>
    </row>
    <row r="25" spans="1:6" ht="15.75">
      <c r="A25" s="103">
        <f>Proef!AK28</f>
        <v>23</v>
      </c>
      <c r="B25" s="104">
        <f>Proef!AL28</f>
        <v>6.15</v>
      </c>
      <c r="C25" s="104">
        <f>Proef!AM28</f>
        <v>12.510000000000002</v>
      </c>
      <c r="D25" s="104">
        <f>Proef!AN28</f>
        <v>12.510000000000002</v>
      </c>
      <c r="E25" s="104">
        <f>Proef!AO28</f>
        <v>12.510000000000002</v>
      </c>
      <c r="F25" s="104">
        <f>Proef!AP28</f>
        <v>2.12</v>
      </c>
    </row>
    <row r="26" spans="1:6" ht="15.75">
      <c r="A26" s="103">
        <f>Proef!AK29</f>
        <v>24</v>
      </c>
      <c r="B26" s="104">
        <f>Proef!AL29</f>
        <v>6.2</v>
      </c>
      <c r="C26" s="104">
        <f>Proef!AM29</f>
        <v>15.68</v>
      </c>
      <c r="D26" s="104">
        <f>Proef!AN29</f>
        <v>15.68</v>
      </c>
      <c r="E26" s="104">
        <f>Proef!AO29</f>
        <v>15.68</v>
      </c>
      <c r="F26" s="104">
        <f>Proef!AP29</f>
        <v>3.16</v>
      </c>
    </row>
    <row r="27" spans="1:6" ht="15.75">
      <c r="A27" s="103">
        <f>Proef!AK30</f>
        <v>25</v>
      </c>
      <c r="B27" s="104">
        <f>Proef!AL30</f>
        <v>6.25</v>
      </c>
      <c r="C27" s="104">
        <f>Proef!AM30</f>
        <v>12.850000000000001</v>
      </c>
      <c r="D27" s="104">
        <f>Proef!AN30</f>
        <v>12.850000000000001</v>
      </c>
      <c r="E27" s="104">
        <f>Proef!AO30</f>
        <v>12.850000000000001</v>
      </c>
      <c r="F27" s="104">
        <f>Proef!AP30</f>
        <v>2.2</v>
      </c>
    </row>
    <row r="28" spans="1:6" ht="15.75">
      <c r="A28" s="103">
        <f>Proef!AK31</f>
        <v>26</v>
      </c>
      <c r="B28" s="104">
        <f>Proef!AL31</f>
        <v>6.3</v>
      </c>
      <c r="C28" s="104">
        <f>Proef!AM31</f>
        <v>16.02</v>
      </c>
      <c r="D28" s="104">
        <f>Proef!AN31</f>
        <v>16.02</v>
      </c>
      <c r="E28" s="104">
        <f>Proef!AO31</f>
        <v>16.02</v>
      </c>
      <c r="F28" s="104">
        <f>Proef!AP31</f>
        <v>3.24</v>
      </c>
    </row>
    <row r="29" spans="1:6" ht="15.75">
      <c r="A29" s="103">
        <f>Proef!AK32</f>
        <v>27</v>
      </c>
      <c r="B29" s="104">
        <f>Proef!AL32</f>
        <v>6.35</v>
      </c>
      <c r="C29" s="104">
        <f>Proef!AM32</f>
        <v>13.190000000000001</v>
      </c>
      <c r="D29" s="104">
        <f>Proef!AN32</f>
        <v>13.190000000000001</v>
      </c>
      <c r="E29" s="104">
        <f>Proef!AO32</f>
        <v>13.190000000000001</v>
      </c>
      <c r="F29" s="104">
        <f>Proef!AP32</f>
        <v>2.2800000000000002</v>
      </c>
    </row>
    <row r="30" spans="1:6" ht="15.75">
      <c r="A30" s="103">
        <f>Proef!AK33</f>
        <v>28</v>
      </c>
      <c r="B30" s="104">
        <f>Proef!AL33</f>
        <v>6.4</v>
      </c>
      <c r="C30" s="104">
        <f>Proef!AM33</f>
        <v>16.36</v>
      </c>
      <c r="D30" s="104">
        <f>Proef!AN33</f>
        <v>16.36</v>
      </c>
      <c r="E30" s="104">
        <f>Proef!AO33</f>
        <v>16.36</v>
      </c>
      <c r="F30" s="104">
        <f>Proef!AP33</f>
        <v>3.3200000000000003</v>
      </c>
    </row>
    <row r="31" spans="1:6" ht="15.75">
      <c r="A31" s="103">
        <f>Proef!AK34</f>
        <v>29</v>
      </c>
      <c r="B31" s="104">
        <f>Proef!AL34</f>
        <v>6.45</v>
      </c>
      <c r="C31" s="104">
        <f>Proef!AM34</f>
        <v>13.530000000000001</v>
      </c>
      <c r="D31" s="104">
        <f>Proef!AN34</f>
        <v>13.530000000000001</v>
      </c>
      <c r="E31" s="104">
        <f>Proef!AO34</f>
        <v>13.530000000000001</v>
      </c>
      <c r="F31" s="104">
        <f>Proef!AP34</f>
        <v>2.36</v>
      </c>
    </row>
    <row r="32" spans="1:6" ht="15.75">
      <c r="A32" s="103">
        <f>Proef!AK35</f>
        <v>30</v>
      </c>
      <c r="B32" s="104">
        <f>Proef!AL35</f>
        <v>6.5</v>
      </c>
      <c r="C32" s="104">
        <f>Proef!AM35</f>
        <v>16.7</v>
      </c>
      <c r="D32" s="104">
        <f>Proef!AN35</f>
        <v>16.7</v>
      </c>
      <c r="E32" s="104">
        <f>Proef!AO35</f>
        <v>16.7</v>
      </c>
      <c r="F32" s="104">
        <f>Proef!AP35</f>
        <v>3.4</v>
      </c>
    </row>
    <row r="33" spans="1:6" ht="15.75">
      <c r="A33" s="103">
        <f>Proef!AK36</f>
        <v>31</v>
      </c>
      <c r="B33" s="104">
        <f>Proef!AL36</f>
        <v>6.55</v>
      </c>
      <c r="C33" s="104">
        <f>Proef!AM36</f>
        <v>13.870000000000001</v>
      </c>
      <c r="D33" s="104">
        <f>Proef!AN36</f>
        <v>13.870000000000001</v>
      </c>
      <c r="E33" s="104">
        <f>Proef!AO36</f>
        <v>13.870000000000001</v>
      </c>
      <c r="F33" s="104">
        <f>Proef!AP36</f>
        <v>2.44</v>
      </c>
    </row>
    <row r="34" spans="1:6" ht="15.75">
      <c r="A34" s="103">
        <f>Proef!AK37</f>
        <v>32</v>
      </c>
      <c r="B34" s="104">
        <f>Proef!AL37</f>
        <v>6.6</v>
      </c>
      <c r="C34" s="104">
        <f>Proef!AM37</f>
        <v>17.04</v>
      </c>
      <c r="D34" s="104">
        <f>Proef!AN37</f>
        <v>17.04</v>
      </c>
      <c r="E34" s="104">
        <f>Proef!AO37</f>
        <v>17.04</v>
      </c>
      <c r="F34" s="104">
        <f>Proef!AP37</f>
        <v>3.48</v>
      </c>
    </row>
    <row r="35" spans="1:6" ht="15.75">
      <c r="A35" s="103">
        <f>Proef!AK38</f>
        <v>33</v>
      </c>
      <c r="B35" s="104">
        <f>Proef!AL38</f>
        <v>6.65</v>
      </c>
      <c r="C35" s="104">
        <f>Proef!AM38</f>
        <v>14.21</v>
      </c>
      <c r="D35" s="104">
        <f>Proef!AN38</f>
        <v>14.21</v>
      </c>
      <c r="E35" s="104">
        <f>Proef!AO38</f>
        <v>14.21</v>
      </c>
      <c r="F35" s="104">
        <f>Proef!AP38</f>
        <v>2.52</v>
      </c>
    </row>
    <row r="36" spans="1:6" ht="15.75">
      <c r="A36" s="103">
        <f>Proef!AK39</f>
        <v>34</v>
      </c>
      <c r="B36" s="104">
        <f>Proef!AL39</f>
        <v>6.7</v>
      </c>
      <c r="C36" s="104">
        <f>Proef!AM39</f>
        <v>17.38</v>
      </c>
      <c r="D36" s="104">
        <f>Proef!AN39</f>
        <v>17.38</v>
      </c>
      <c r="E36" s="104">
        <f>Proef!AO39</f>
        <v>17.38</v>
      </c>
      <c r="F36" s="104">
        <f>Proef!AP39</f>
        <v>3.56</v>
      </c>
    </row>
    <row r="37" spans="1:6" ht="15.75">
      <c r="A37" s="103">
        <f>Proef!AK40</f>
        <v>35</v>
      </c>
      <c r="B37" s="104">
        <f>Proef!AL40</f>
        <v>6.75</v>
      </c>
      <c r="C37" s="104">
        <f>Proef!AM40</f>
        <v>14.55</v>
      </c>
      <c r="D37" s="104">
        <f>Proef!AN40</f>
        <v>14.55</v>
      </c>
      <c r="E37" s="104">
        <f>Proef!AO40</f>
        <v>14.55</v>
      </c>
      <c r="F37" s="104">
        <f>Proef!AP40</f>
        <v>2.6</v>
      </c>
    </row>
    <row r="38" spans="1:6" ht="15.75">
      <c r="A38" s="103">
        <f>Proef!AK41</f>
        <v>36</v>
      </c>
      <c r="B38" s="104">
        <f>Proef!AL41</f>
        <v>6.8</v>
      </c>
      <c r="C38" s="104">
        <f>Proef!AM41</f>
        <v>17.72</v>
      </c>
      <c r="D38" s="104">
        <f>Proef!AN41</f>
        <v>17.72</v>
      </c>
      <c r="E38" s="104">
        <f>Proef!AO41</f>
        <v>17.72</v>
      </c>
      <c r="F38" s="104">
        <f>Proef!AP41</f>
        <v>3.6399999999999997</v>
      </c>
    </row>
    <row r="39" spans="1:6" ht="15.75">
      <c r="A39" s="103">
        <f>Proef!AK42</f>
        <v>37</v>
      </c>
      <c r="B39" s="104">
        <f>Proef!AL42</f>
        <v>6.85</v>
      </c>
      <c r="C39" s="104">
        <f>Proef!AM42</f>
        <v>14.889999999999999</v>
      </c>
      <c r="D39" s="104">
        <f>Proef!AN42</f>
        <v>14.889999999999999</v>
      </c>
      <c r="E39" s="104">
        <f>Proef!AO42</f>
        <v>14.889999999999999</v>
      </c>
      <c r="F39" s="104">
        <f>Proef!AP42</f>
        <v>2.6799999999999997</v>
      </c>
    </row>
    <row r="40" spans="1:6" ht="15.75">
      <c r="A40" s="103">
        <f>Proef!AK43</f>
        <v>38</v>
      </c>
      <c r="B40" s="104">
        <f>Proef!AL43</f>
        <v>6.9</v>
      </c>
      <c r="C40" s="104">
        <f>Proef!AM43</f>
        <v>18.060000000000002</v>
      </c>
      <c r="D40" s="104">
        <f>Proef!AN43</f>
        <v>18.060000000000002</v>
      </c>
      <c r="E40" s="104">
        <f>Proef!AO43</f>
        <v>18.060000000000002</v>
      </c>
      <c r="F40" s="104">
        <f>Proef!AP43</f>
        <v>3.7199999999999998</v>
      </c>
    </row>
    <row r="41" spans="1:6" ht="15.75">
      <c r="A41" s="103">
        <f>Proef!AK44</f>
        <v>39</v>
      </c>
      <c r="B41" s="104">
        <f>Proef!AL44</f>
        <v>6.95</v>
      </c>
      <c r="C41" s="104">
        <f>Proef!AM44</f>
        <v>15.23</v>
      </c>
      <c r="D41" s="104">
        <f>Proef!AN44</f>
        <v>15.23</v>
      </c>
      <c r="E41" s="104">
        <f>Proef!AO44</f>
        <v>15.23</v>
      </c>
      <c r="F41" s="104">
        <f>Proef!AP44</f>
        <v>2.76</v>
      </c>
    </row>
    <row r="42" spans="1:6" ht="15.75">
      <c r="A42" s="103">
        <f>Proef!AK45</f>
        <v>40</v>
      </c>
      <c r="B42" s="104">
        <f>Proef!AL45</f>
        <v>7</v>
      </c>
      <c r="C42" s="104">
        <f>Proef!AM45</f>
        <v>18.4</v>
      </c>
      <c r="D42" s="104">
        <f>Proef!AN45</f>
        <v>18.4</v>
      </c>
      <c r="E42" s="104">
        <f>Proef!AO45</f>
        <v>18.4</v>
      </c>
      <c r="F42" s="104">
        <f>Proef!AP45</f>
        <v>3.8</v>
      </c>
    </row>
    <row r="43" spans="1:6" ht="15.75">
      <c r="A43" s="103">
        <f>Proef!AK46</f>
        <v>41</v>
      </c>
      <c r="B43" s="104">
        <f>Proef!AL46</f>
        <v>7.05</v>
      </c>
      <c r="C43" s="104">
        <f>Proef!AM46</f>
        <v>15.57</v>
      </c>
      <c r="D43" s="104">
        <f>Proef!AN46</f>
        <v>15.57</v>
      </c>
      <c r="E43" s="104">
        <f>Proef!AO46</f>
        <v>15.57</v>
      </c>
      <c r="F43" s="104">
        <f>Proef!AP46</f>
        <v>2.84</v>
      </c>
    </row>
    <row r="44" spans="1:6" ht="15.75">
      <c r="A44" s="103">
        <f>Proef!AK47</f>
        <v>42</v>
      </c>
      <c r="B44" s="104">
        <f>Proef!AL47</f>
        <v>7.1</v>
      </c>
      <c r="C44" s="104">
        <f>Proef!AM47</f>
        <v>18.740000000000002</v>
      </c>
      <c r="D44" s="104">
        <f>Proef!AN47</f>
        <v>18.740000000000002</v>
      </c>
      <c r="E44" s="104">
        <f>Proef!AO47</f>
        <v>18.740000000000002</v>
      </c>
      <c r="F44" s="104">
        <f>Proef!AP47</f>
        <v>3.88</v>
      </c>
    </row>
    <row r="45" spans="1:6" ht="15.75">
      <c r="A45" s="103">
        <f>Proef!AK48</f>
        <v>43</v>
      </c>
      <c r="B45" s="104">
        <f>Proef!AL48</f>
        <v>7.15</v>
      </c>
      <c r="C45" s="104">
        <f>Proef!AM48</f>
        <v>15.91</v>
      </c>
      <c r="D45" s="104">
        <f>Proef!AN48</f>
        <v>15.91</v>
      </c>
      <c r="E45" s="104">
        <f>Proef!AO48</f>
        <v>15.91</v>
      </c>
      <c r="F45" s="104">
        <f>Proef!AP48</f>
        <v>2.92</v>
      </c>
    </row>
    <row r="46" spans="1:6" ht="15.75">
      <c r="A46" s="103">
        <f>Proef!AK49</f>
        <v>44</v>
      </c>
      <c r="B46" s="104">
        <f>Proef!AL49</f>
        <v>7.2</v>
      </c>
      <c r="C46" s="104">
        <f>Proef!AM49</f>
        <v>19.08</v>
      </c>
      <c r="D46" s="104">
        <f>Proef!AN49</f>
        <v>19.08</v>
      </c>
      <c r="E46" s="104">
        <f>Proef!AO49</f>
        <v>19.08</v>
      </c>
      <c r="F46" s="104">
        <f>Proef!AP49</f>
        <v>3.96</v>
      </c>
    </row>
    <row r="47" spans="1:6" ht="15.75">
      <c r="A47" s="103">
        <f>Proef!AK50</f>
        <v>45</v>
      </c>
      <c r="B47" s="104">
        <f>Proef!AL50</f>
        <v>7.25</v>
      </c>
      <c r="C47" s="104">
        <f>Proef!AM50</f>
        <v>16.25</v>
      </c>
      <c r="D47" s="104">
        <f>Proef!AN50</f>
        <v>16.25</v>
      </c>
      <c r="E47" s="104">
        <f>Proef!AO50</f>
        <v>16.25</v>
      </c>
      <c r="F47" s="104">
        <f>Proef!AP50</f>
        <v>3</v>
      </c>
    </row>
    <row r="48" spans="1:6" ht="15.75">
      <c r="A48" s="103">
        <f>Proef!AK51</f>
        <v>46</v>
      </c>
      <c r="B48" s="104">
        <f>Proef!AL51</f>
        <v>7.3</v>
      </c>
      <c r="C48" s="104">
        <f>Proef!AM51</f>
        <v>19.42</v>
      </c>
      <c r="D48" s="104">
        <f>Proef!AN51</f>
        <v>19.42</v>
      </c>
      <c r="E48" s="104">
        <f>Proef!AO51</f>
        <v>19.42</v>
      </c>
      <c r="F48" s="104">
        <f>Proef!AP51</f>
        <v>4.04</v>
      </c>
    </row>
    <row r="49" spans="1:6" ht="15.75">
      <c r="A49" s="103">
        <f>Proef!AK52</f>
        <v>47</v>
      </c>
      <c r="B49" s="104">
        <f>Proef!AL52</f>
        <v>7.35</v>
      </c>
      <c r="C49" s="104">
        <f>Proef!AM52</f>
        <v>16.59</v>
      </c>
      <c r="D49" s="104">
        <f>Proef!AN52</f>
        <v>16.59</v>
      </c>
      <c r="E49" s="104">
        <f>Proef!AO52</f>
        <v>16.59</v>
      </c>
      <c r="F49" s="104">
        <f>Proef!AP52</f>
        <v>3.08</v>
      </c>
    </row>
    <row r="50" spans="1:6" ht="15.75">
      <c r="A50" s="103">
        <f>Proef!AK53</f>
        <v>48</v>
      </c>
      <c r="B50" s="104">
        <f>Proef!AL53</f>
        <v>7.4</v>
      </c>
      <c r="C50" s="104">
        <f>Proef!AM53</f>
        <v>19.759999999999998</v>
      </c>
      <c r="D50" s="104">
        <f>Proef!AN53</f>
        <v>19.759999999999998</v>
      </c>
      <c r="E50" s="104">
        <f>Proef!AO53</f>
        <v>19.759999999999998</v>
      </c>
      <c r="F50" s="104">
        <f>Proef!AP53</f>
        <v>4.12</v>
      </c>
    </row>
    <row r="51" spans="1:6" ht="15.75">
      <c r="A51" s="103">
        <f>Proef!AK54</f>
        <v>49</v>
      </c>
      <c r="B51" s="104">
        <f>Proef!AL54</f>
        <v>7.45</v>
      </c>
      <c r="C51" s="104">
        <f>Proef!AM54</f>
        <v>16.93</v>
      </c>
      <c r="D51" s="104">
        <f>Proef!AN54</f>
        <v>16.93</v>
      </c>
      <c r="E51" s="104">
        <f>Proef!AO54</f>
        <v>16.93</v>
      </c>
      <c r="F51" s="104">
        <f>Proef!AP54</f>
        <v>3.16</v>
      </c>
    </row>
    <row r="52" spans="1:6" ht="15.75">
      <c r="A52" s="103">
        <f>Proef!AK55</f>
        <v>50</v>
      </c>
      <c r="B52" s="104">
        <f>Proef!AL55</f>
        <v>7.5</v>
      </c>
      <c r="C52" s="104">
        <f>Proef!AM55</f>
        <v>20.1</v>
      </c>
      <c r="D52" s="104">
        <f>Proef!AN55</f>
        <v>20.1</v>
      </c>
      <c r="E52" s="104">
        <f>Proef!AO55</f>
        <v>20.1</v>
      </c>
      <c r="F52" s="104">
        <f>Proef!AP55</f>
        <v>4.2</v>
      </c>
    </row>
    <row r="53" spans="1:6" ht="15.75">
      <c r="A53" s="103">
        <f>Proef!AK56</f>
        <v>51</v>
      </c>
      <c r="B53" s="104">
        <f>Proef!AL56</f>
        <v>7.55</v>
      </c>
      <c r="C53" s="104">
        <f>Proef!AM56</f>
        <v>17.27</v>
      </c>
      <c r="D53" s="104">
        <f>Proef!AN56</f>
        <v>17.27</v>
      </c>
      <c r="E53" s="104">
        <f>Proef!AO56</f>
        <v>17.27</v>
      </c>
      <c r="F53" s="104">
        <f>Proef!AP56</f>
        <v>3.24</v>
      </c>
    </row>
    <row r="54" spans="1:6" ht="15.75">
      <c r="A54" s="103">
        <f>Proef!AK57</f>
        <v>52</v>
      </c>
      <c r="B54" s="104">
        <f>Proef!AL57</f>
        <v>7.6</v>
      </c>
      <c r="C54" s="104">
        <f>Proef!AM57</f>
        <v>20.439999999999998</v>
      </c>
      <c r="D54" s="104">
        <f>Proef!AN57</f>
        <v>20.439999999999998</v>
      </c>
      <c r="E54" s="104">
        <f>Proef!AO57</f>
        <v>20.439999999999998</v>
      </c>
      <c r="F54" s="104">
        <f>Proef!AP57</f>
        <v>4.28</v>
      </c>
    </row>
    <row r="55" spans="1:6" ht="15.75">
      <c r="A55" s="103">
        <f>Proef!AK58</f>
        <v>53</v>
      </c>
      <c r="B55" s="104">
        <f>Proef!AL58</f>
        <v>7.65</v>
      </c>
      <c r="C55" s="104">
        <f>Proef!AM58</f>
        <v>17.61</v>
      </c>
      <c r="D55" s="104">
        <f>Proef!AN58</f>
        <v>17.61</v>
      </c>
      <c r="E55" s="104">
        <f>Proef!AO58</f>
        <v>17.61</v>
      </c>
      <c r="F55" s="104">
        <f>Proef!AP58</f>
        <v>3.3200000000000003</v>
      </c>
    </row>
    <row r="56" spans="1:6" ht="15.75">
      <c r="A56" s="103">
        <f>Proef!AK59</f>
        <v>54</v>
      </c>
      <c r="B56" s="104">
        <f>Proef!AL59</f>
        <v>7.7</v>
      </c>
      <c r="C56" s="104">
        <f>Proef!AM59</f>
        <v>20.78</v>
      </c>
      <c r="D56" s="104">
        <f>Proef!AN59</f>
        <v>20.78</v>
      </c>
      <c r="E56" s="104">
        <f>Proef!AO59</f>
        <v>20.78</v>
      </c>
      <c r="F56" s="104">
        <f>Proef!AP59</f>
        <v>4.36</v>
      </c>
    </row>
    <row r="57" spans="1:6" ht="15.75">
      <c r="A57" s="103">
        <f>Proef!AK60</f>
        <v>55</v>
      </c>
      <c r="B57" s="104">
        <f>Proef!AL60</f>
        <v>7.75</v>
      </c>
      <c r="C57" s="104">
        <f>Proef!AM60</f>
        <v>17.950000000000003</v>
      </c>
      <c r="D57" s="104">
        <f>Proef!AN60</f>
        <v>17.950000000000003</v>
      </c>
      <c r="E57" s="104">
        <f>Proef!AO60</f>
        <v>17.950000000000003</v>
      </c>
      <c r="F57" s="104">
        <f>Proef!AP60</f>
        <v>3.4000000000000004</v>
      </c>
    </row>
    <row r="58" spans="1:6" ht="15.75">
      <c r="A58" s="103">
        <f>Proef!AK61</f>
        <v>56</v>
      </c>
      <c r="B58" s="104">
        <f>Proef!AL61</f>
        <v>7.8</v>
      </c>
      <c r="C58" s="104">
        <f>Proef!AM61</f>
        <v>21.12</v>
      </c>
      <c r="D58" s="104">
        <f>Proef!AN61</f>
        <v>21.12</v>
      </c>
      <c r="E58" s="104">
        <f>Proef!AO61</f>
        <v>21.12</v>
      </c>
      <c r="F58" s="104">
        <f>Proef!AP61</f>
        <v>4.44</v>
      </c>
    </row>
    <row r="59" spans="1:6" ht="15.75">
      <c r="A59" s="103">
        <f>Proef!AK62</f>
        <v>57</v>
      </c>
      <c r="B59" s="104">
        <f>Proef!AL62</f>
        <v>7.85</v>
      </c>
      <c r="C59" s="104">
        <f>Proef!AM62</f>
        <v>18.29</v>
      </c>
      <c r="D59" s="104">
        <f>Proef!AN62</f>
        <v>18.29</v>
      </c>
      <c r="E59" s="104">
        <f>Proef!AO62</f>
        <v>18.29</v>
      </c>
      <c r="F59" s="104">
        <f>Proef!AP62</f>
        <v>3.4800000000000004</v>
      </c>
    </row>
    <row r="60" spans="1:6" ht="15.75">
      <c r="A60" s="103">
        <f>Proef!AK63</f>
        <v>58</v>
      </c>
      <c r="B60" s="104">
        <f>Proef!AL63</f>
        <v>7.9</v>
      </c>
      <c r="C60" s="104">
        <f>Proef!AM63</f>
        <v>21.46</v>
      </c>
      <c r="D60" s="104">
        <f>Proef!AN63</f>
        <v>21.46</v>
      </c>
      <c r="E60" s="104">
        <f>Proef!AO63</f>
        <v>21.46</v>
      </c>
      <c r="F60" s="104">
        <f>Proef!AP63</f>
        <v>4.52</v>
      </c>
    </row>
    <row r="61" spans="1:6" ht="15.75">
      <c r="A61" s="103">
        <f>Proef!AK64</f>
        <v>59</v>
      </c>
      <c r="B61" s="104">
        <f>Proef!AL64</f>
        <v>7.95</v>
      </c>
      <c r="C61" s="104">
        <f>Proef!AM64</f>
        <v>18.63</v>
      </c>
      <c r="D61" s="104">
        <f>Proef!AN64</f>
        <v>18.63</v>
      </c>
      <c r="E61" s="104">
        <f>Proef!AO64</f>
        <v>18.63</v>
      </c>
      <c r="F61" s="104">
        <f>Proef!AP64</f>
        <v>3.5599999999999996</v>
      </c>
    </row>
    <row r="62" spans="1:6" ht="15.75">
      <c r="A62" s="103">
        <f>Proef!AK65</f>
        <v>60</v>
      </c>
      <c r="B62" s="104">
        <f>Proef!AL65</f>
        <v>8</v>
      </c>
      <c r="C62" s="104">
        <f>Proef!AM65</f>
        <v>21.799999999999997</v>
      </c>
      <c r="D62" s="104">
        <f>Proef!AN65</f>
        <v>21.799999999999997</v>
      </c>
      <c r="E62" s="104">
        <f>Proef!AO65</f>
        <v>21.799999999999997</v>
      </c>
      <c r="F62" s="104">
        <f>Proef!AP65</f>
        <v>4.6</v>
      </c>
    </row>
  </sheetData>
  <printOptions/>
  <pageMargins left="0.75" right="0.75" top="0.63" bottom="0.62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2008-10-08T19:07:32Z</cp:lastPrinted>
  <dcterms:created xsi:type="dcterms:W3CDTF">2005-10-22T20:39:06Z</dcterms:created>
  <dcterms:modified xsi:type="dcterms:W3CDTF">2009-11-02T16:57:44Z</dcterms:modified>
  <cp:category/>
  <cp:version/>
  <cp:contentType/>
  <cp:contentStatus/>
</cp:coreProperties>
</file>